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frume\Topten Schweiz Dropbox\Topten Schweiz\5_Prokilowatt_Förderprogramme\5a_PKW_Gewerbe\00_Gesuche\04_Förderberechtigte Geräte\"/>
    </mc:Choice>
  </mc:AlternateContent>
  <xr:revisionPtr revIDLastSave="0" documentId="13_ncr:1_{092C6436-D851-4331-8209-3CA27B7CCF26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TOPTEN CHECK" sheetId="4" r:id="rId1"/>
    <sheet name="Languages" sheetId="7" state="hidden" r:id="rId2"/>
    <sheet name="StoredValues" sheetId="8" state="hidden" r:id="rId3"/>
  </sheets>
  <calcPr calcId="18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4" i="4" l="1"/>
  <c r="M36" i="4" s="1"/>
  <c r="K34" i="4"/>
  <c r="I34" i="4"/>
  <c r="O38" i="4"/>
  <c r="S36" i="4"/>
  <c r="Q36" i="4"/>
  <c r="C16" i="4"/>
  <c r="C31" i="4"/>
  <c r="C32" i="4"/>
  <c r="U26" i="4"/>
  <c r="U25" i="4"/>
  <c r="Q26" i="4"/>
  <c r="Q25" i="4"/>
  <c r="M26" i="4"/>
  <c r="G26" i="4"/>
  <c r="E26" i="4"/>
  <c r="M25" i="4"/>
  <c r="G25" i="4"/>
  <c r="E25" i="4"/>
  <c r="U44" i="4" l="1"/>
  <c r="O45" i="4"/>
  <c r="O44" i="4"/>
  <c r="B48" i="4"/>
  <c r="B47" i="4"/>
  <c r="B46" i="4"/>
  <c r="C43" i="4"/>
  <c r="C42" i="4"/>
  <c r="C41" i="4"/>
  <c r="C40" i="4"/>
  <c r="C38" i="4"/>
  <c r="C37" i="4"/>
  <c r="C36" i="4"/>
  <c r="C35" i="4"/>
  <c r="C34" i="4"/>
  <c r="C33" i="4"/>
  <c r="C30" i="4"/>
  <c r="C29" i="4"/>
  <c r="C28" i="4"/>
  <c r="C24" i="4" l="1"/>
  <c r="U11" i="4"/>
  <c r="U12" i="4"/>
  <c r="S12" i="4"/>
  <c r="Q12" i="4"/>
  <c r="O12" i="4"/>
  <c r="M12" i="4"/>
  <c r="K12" i="4"/>
  <c r="K35" i="4"/>
  <c r="K36" i="4"/>
  <c r="K30" i="4"/>
  <c r="K11" i="4"/>
  <c r="K37" i="4" l="1"/>
  <c r="E42" i="4"/>
  <c r="U42" i="4"/>
  <c r="Q43" i="4"/>
  <c r="Q42" i="4"/>
  <c r="K26" i="4" l="1"/>
  <c r="K25" i="4"/>
  <c r="K43" i="4"/>
  <c r="K42" i="4"/>
  <c r="K24" i="4"/>
  <c r="U43" i="4"/>
  <c r="Q24" i="4" l="1"/>
  <c r="B45" i="4" l="1"/>
  <c r="B8" i="4"/>
  <c r="B7" i="4"/>
  <c r="C22" i="4" l="1"/>
  <c r="U32" i="4" l="1"/>
  <c r="U34" i="4" s="1"/>
  <c r="U36" i="4" s="1"/>
  <c r="U30" i="4"/>
  <c r="G33" i="4"/>
  <c r="Q11" i="4" l="1"/>
  <c r="I12" i="4"/>
  <c r="G12" i="4"/>
  <c r="E12" i="4"/>
  <c r="E10" i="4"/>
  <c r="E33" i="4"/>
  <c r="E32" i="4"/>
  <c r="C25" i="4"/>
  <c r="C26" i="4"/>
  <c r="G32" i="4"/>
  <c r="G30" i="4" s="1"/>
  <c r="G36" i="4" s="1"/>
  <c r="S34" i="4"/>
  <c r="Q34" i="4"/>
  <c r="O34" i="4"/>
  <c r="O36" i="4" s="1"/>
  <c r="I36" i="4"/>
  <c r="E30" i="4" l="1"/>
  <c r="E36" i="4" s="1"/>
  <c r="S30" i="4"/>
  <c r="Q30" i="4"/>
  <c r="O30" i="4"/>
  <c r="M30" i="4"/>
  <c r="I30" i="4"/>
  <c r="E35" i="4"/>
  <c r="C21" i="4"/>
  <c r="C20" i="4"/>
  <c r="G35" i="4" l="1"/>
  <c r="G37" i="4" s="1"/>
  <c r="G43" i="4" l="1"/>
  <c r="G42" i="4"/>
  <c r="G24" i="4"/>
  <c r="U35" i="4"/>
  <c r="O35" i="4"/>
  <c r="O37" i="4" s="1"/>
  <c r="S35" i="4"/>
  <c r="Q35" i="4"/>
  <c r="B6" i="4"/>
  <c r="B4" i="4"/>
  <c r="C19" i="4"/>
  <c r="C18" i="4"/>
  <c r="C17" i="4"/>
  <c r="C15" i="4"/>
  <c r="C14" i="4"/>
  <c r="M35" i="4"/>
  <c r="M37" i="4" s="1"/>
  <c r="I35" i="4"/>
  <c r="O26" i="4" l="1"/>
  <c r="O25" i="4"/>
  <c r="O43" i="4"/>
  <c r="O42" i="4"/>
  <c r="O24" i="4"/>
  <c r="M43" i="4"/>
  <c r="M42" i="4"/>
  <c r="M24" i="4"/>
  <c r="S37" i="4"/>
  <c r="Q37" i="4"/>
  <c r="U37" i="4"/>
  <c r="I37" i="4"/>
  <c r="E37" i="4"/>
  <c r="E43" i="4" s="1"/>
  <c r="I25" i="4" l="1"/>
  <c r="I26" i="4"/>
  <c r="I24" i="4"/>
  <c r="S25" i="4"/>
  <c r="S26" i="4"/>
  <c r="I43" i="4"/>
  <c r="I42" i="4"/>
  <c r="S42" i="4"/>
  <c r="S43" i="4"/>
  <c r="S24" i="4"/>
  <c r="E24" i="4"/>
  <c r="U24" i="4"/>
</calcChain>
</file>

<file path=xl/sharedStrings.xml><?xml version="1.0" encoding="utf-8"?>
<sst xmlns="http://schemas.openxmlformats.org/spreadsheetml/2006/main" count="351" uniqueCount="306">
  <si>
    <t>Model</t>
  </si>
  <si>
    <t>Brand</t>
  </si>
  <si>
    <t>Total Display Area (m2)</t>
  </si>
  <si>
    <t>Energy Consumption (kWh/24h)</t>
  </si>
  <si>
    <t>BEVERAGE COOLERS</t>
  </si>
  <si>
    <t>Value for M</t>
  </si>
  <si>
    <t>Value for N</t>
  </si>
  <si>
    <t>ICE CREAM FREEZERS</t>
  </si>
  <si>
    <t>Topten.eu</t>
  </si>
  <si>
    <t>CHECK IF A PRODUCT MEETS THE TOPTEN SELECTION CRITERIA</t>
  </si>
  <si>
    <t>English</t>
  </si>
  <si>
    <t>Deutsch</t>
  </si>
  <si>
    <t>Français</t>
  </si>
  <si>
    <t>Italiano</t>
  </si>
  <si>
    <t>Rebates in Switzerland</t>
  </si>
  <si>
    <t>2. ENERGY EFFICIENCY : depending on type, fill in the blue fields below</t>
  </si>
  <si>
    <t>STORAGE COUNTER REFRIGERATORS</t>
  </si>
  <si>
    <t>STORAGE REFRIGERATORS 1-DOOR</t>
  </si>
  <si>
    <t>STORAGE REFRIGERATORS 2-DOORS</t>
  </si>
  <si>
    <t>STORAGE COUNTER FREEZERS</t>
  </si>
  <si>
    <t>STORAGE FREEZERS 2-DOORS</t>
  </si>
  <si>
    <t>Berechtigt für Förderbeiträge in der Schweiz</t>
  </si>
  <si>
    <t>Topten Europa</t>
  </si>
  <si>
    <t>Marke</t>
  </si>
  <si>
    <t>Modell</t>
  </si>
  <si>
    <t>Warenpräsentationsfläche (m2)</t>
  </si>
  <si>
    <t>Energieverbrauch (kWh/24h)</t>
  </si>
  <si>
    <t>Lager-Kühlgeräte Unterbau</t>
  </si>
  <si>
    <t>Lager-Kühlschränke 1-türig</t>
  </si>
  <si>
    <t>Lager-Kühlschränke 2-türig</t>
  </si>
  <si>
    <t>Lager-Tiefkühlgeräte Unterbau</t>
  </si>
  <si>
    <t>Lager-Tiefkühlschränke 1-türig</t>
  </si>
  <si>
    <t>Lager-Tiefkühlschränke 2-türig</t>
  </si>
  <si>
    <t>2. ENERGIEEFFIZIENZ : Bitte die blauen Felder für den zutreffenden Gerätetyp ausfüllen</t>
  </si>
  <si>
    <t>Testen Sie ob ein Produkt die Topten Auswahlkriterien erfüllt</t>
  </si>
  <si>
    <t>STORAGE FREEZERS 1-DOOR</t>
  </si>
  <si>
    <t>STORAGE REFRIGERATOR-FREEZERS</t>
  </si>
  <si>
    <t>Lager-Kühl-Tiefkühlschränke</t>
  </si>
  <si>
    <t>DISPLAY</t>
  </si>
  <si>
    <t>STORAGE</t>
  </si>
  <si>
    <t>Lagerkühlmöbel</t>
  </si>
  <si>
    <t>VENDING MACHINES</t>
  </si>
  <si>
    <t>WINE COOLERS</t>
  </si>
  <si>
    <t>MINIBARS</t>
  </si>
  <si>
    <t>Yes</t>
  </si>
  <si>
    <t>No</t>
  </si>
  <si>
    <t>Ja</t>
  </si>
  <si>
    <t>Nein</t>
  </si>
  <si>
    <t>Controllare se il prodotto rispetta i criteri di selezione TOPTEN</t>
  </si>
  <si>
    <t>2. EFFICIENZA ENERGETICA : in funzione del tipo, riempire le celle blu sotto</t>
  </si>
  <si>
    <t>Marca</t>
  </si>
  <si>
    <t>Modello</t>
  </si>
  <si>
    <t>Superficie di vendita (m2)</t>
  </si>
  <si>
    <t>Consumo energetico (kWh/24h)</t>
  </si>
  <si>
    <t>Utilizzato per campagna di incentivi in Svizzera</t>
  </si>
  <si>
    <t>Armadio frigorifero o congelatore</t>
  </si>
  <si>
    <t>Armadio frigo-congelatore</t>
  </si>
  <si>
    <t>VÉRIFIEZ SI UN PRODUIT REMPLIT LES CRITÈRES DE SÉLECTION TOPTEN</t>
  </si>
  <si>
    <t>2.  EFFICACITÉ ÉNERGÉTIQUE : selon le type d'appareils, remplissez les cellules en bleu ci-dessous</t>
  </si>
  <si>
    <t>Marque</t>
  </si>
  <si>
    <t>Modèle</t>
  </si>
  <si>
    <t>Surface de vitrine (m2)</t>
  </si>
  <si>
    <t>Consommation d'énergie (kWh/24h)</t>
  </si>
  <si>
    <t>Prime à l'achat en Suisse</t>
  </si>
  <si>
    <t>VITRINES</t>
  </si>
  <si>
    <t>RÉFRIGÉRATION</t>
  </si>
  <si>
    <t>CONGÉLATION</t>
  </si>
  <si>
    <t>VITRINES RÉFRIGÉRÉES</t>
  </si>
  <si>
    <t>CAVES À VIN</t>
  </si>
  <si>
    <t>Oui</t>
  </si>
  <si>
    <t>Non</t>
  </si>
  <si>
    <t>VERTICAL FREEZERS WITH GLASS DOORS</t>
  </si>
  <si>
    <t>SMALL COUNTER-TOP FREEZERS</t>
  </si>
  <si>
    <t>VERTICAL CHILLED DISPLAY CABINETS</t>
  </si>
  <si>
    <t>HORIZONTAL CHILLED DISPLAY CABINETS</t>
  </si>
  <si>
    <t>HORIZONTAL DISPLAY FREEZERS</t>
  </si>
  <si>
    <t>*</t>
  </si>
  <si>
    <t>**</t>
  </si>
  <si>
    <t>* for medium cabinets (TDA &lt; 2 m2)</t>
  </si>
  <si>
    <t>** for large cabinets (TDA &gt;= 2 m2)</t>
  </si>
  <si>
    <t>1. KÄLTEMITTEL : muss ein natürliches Kältemittel mit Treibhauspotenzial GWP unter 3 sein (z.B. R290/Propan, R600a/Isobutan, R744/CO2)</t>
  </si>
  <si>
    <t>1.  RÉFRIGÉRANT : le réfrigérant doit avoir un potentiel de réchauffement global (PRG) inférieur à 3 (ex. R290/propane, R600a/isobutane, R744/CO2)</t>
  </si>
  <si>
    <t>1. REFRIGERANTE : deve essere un refrigerante con potenziale GWP inferiore a 3 (es. R290/propano, R600a/isobutano, R744/CO2)</t>
  </si>
  <si>
    <t>1. REFRIGERANT : must be a natural refrigerant with global warming potential, GWP, below 3 (e.g. R290/propane, R600a/isobutane, R744/CO2)</t>
  </si>
  <si>
    <t>REFRIGERATED VENDING MACHINES</t>
  </si>
  <si>
    <t>Max. EEI for Topten.eu and for Rebates in Switzerland and Austria</t>
  </si>
  <si>
    <t>REFRIGERATORS</t>
  </si>
  <si>
    <t>FREEZERS</t>
  </si>
  <si>
    <t>Temperature Class</t>
  </si>
  <si>
    <t>Temperatur-Klasse</t>
  </si>
  <si>
    <t>M2</t>
  </si>
  <si>
    <t>M1</t>
  </si>
  <si>
    <t>L1</t>
  </si>
  <si>
    <t>L2</t>
  </si>
  <si>
    <t>L3</t>
  </si>
  <si>
    <t>G1 / G2 / G3 / S</t>
  </si>
  <si>
    <t>Category</t>
  </si>
  <si>
    <t>H1 &amp; H2</t>
  </si>
  <si>
    <t>K1</t>
  </si>
  <si>
    <t>K2</t>
  </si>
  <si>
    <t>K3</t>
  </si>
  <si>
    <t>K4</t>
  </si>
  <si>
    <t>Max. -18°C</t>
  </si>
  <si>
    <t>Max. -7°C</t>
  </si>
  <si>
    <t>Net / Gross Volume (L)</t>
  </si>
  <si>
    <t>Nutzinhalt / Bruttoinhalt (L)</t>
  </si>
  <si>
    <t>Volume net / brut (L)</t>
  </si>
  <si>
    <t>Volume netto / lordo (L)</t>
  </si>
  <si>
    <t>Classe di temperatura</t>
  </si>
  <si>
    <t>Classe de température</t>
  </si>
  <si>
    <t>Climate Class (Operating Conditions)</t>
  </si>
  <si>
    <t>Klimaklasse</t>
  </si>
  <si>
    <t>Classe climatique</t>
  </si>
  <si>
    <t>Classe climatica</t>
  </si>
  <si>
    <t>Beverage Coolers</t>
  </si>
  <si>
    <t>Ice-Cream</t>
  </si>
  <si>
    <t>C (max. 40°C, 40% RH)</t>
  </si>
  <si>
    <t>B (max. 35°C, 75% RH)</t>
  </si>
  <si>
    <t>A (max. 30°C, 55% RH)</t>
  </si>
  <si>
    <t>CC1 (25°C, 60% RH)</t>
  </si>
  <si>
    <t>CC2 (32°C, 65% RH)</t>
  </si>
  <si>
    <t>CC3 (40°C, 75% RH)</t>
  </si>
  <si>
    <t>Matrix for Tc-Values</t>
  </si>
  <si>
    <t>Matrix for CC-Values</t>
  </si>
  <si>
    <t>Ice-Cream Freezers with transparent lid</t>
  </si>
  <si>
    <t>Ice-Cream Freezers with solid lid</t>
  </si>
  <si>
    <t>Assumption: same C value as vertical and combines supermarket refrigerator cabinets</t>
  </si>
  <si>
    <t>Vertical, combined supermarket refrigerator cabinets</t>
  </si>
  <si>
    <t>Horizontal supermarket refrigerator cabinets</t>
  </si>
  <si>
    <t>Vertical, combined supermarket freezer cabinets</t>
  </si>
  <si>
    <t>horizontal supermarket freezer cabinets</t>
  </si>
  <si>
    <t>Roll-in cabinets (from 1 March 2021)</t>
  </si>
  <si>
    <t>Roll-in cabinets (from 1 September 2023)</t>
  </si>
  <si>
    <t>P-Values</t>
  </si>
  <si>
    <t>Plug-in</t>
  </si>
  <si>
    <t>Remote</t>
  </si>
  <si>
    <t>Value for Y</t>
  </si>
  <si>
    <t>Value for C</t>
  </si>
  <si>
    <t>Value for CC (for beverage coolers &amp; ice-cream freezers)</t>
  </si>
  <si>
    <t>-</t>
  </si>
  <si>
    <t>Ice-Cream Freezer Lid (Transparent or Solid)</t>
  </si>
  <si>
    <t>Deckel Glacé-Truhe (durchsichtig vs. nicht durchsichtig)</t>
  </si>
  <si>
    <t>Ice-Cream Freezer Lid options</t>
  </si>
  <si>
    <t>Transparent</t>
  </si>
  <si>
    <t>Non-Transparent</t>
  </si>
  <si>
    <t xml:space="preserve"> </t>
  </si>
  <si>
    <t>* für mittlere Gefrierschänke (TDA &lt; 2 m2)</t>
  </si>
  <si>
    <t>** für grosse Gefrierschränke (TDA &gt;= 2 m2)</t>
  </si>
  <si>
    <t>Value for Tc (for beverage coolers &amp; ice-cream freezers), Tv (vending machines)</t>
  </si>
  <si>
    <t>Categories of Refrigerated Vending Machines</t>
  </si>
  <si>
    <t>Maximum measured product temperature (Tv) (°C)</t>
  </si>
  <si>
    <t>Category 1</t>
  </si>
  <si>
    <t>Category 2</t>
  </si>
  <si>
    <t>Category 3</t>
  </si>
  <si>
    <t>Category 4</t>
  </si>
  <si>
    <t>Category 5</t>
  </si>
  <si>
    <t>Description</t>
  </si>
  <si>
    <t>Closed fronted, cans &amp;bottles</t>
  </si>
  <si>
    <t>Glass fronted, cans &amp; bottles, confectionery &amp; snacks</t>
  </si>
  <si>
    <t>Glass fronted, perishable foodstuffs</t>
  </si>
  <si>
    <t>Glass fronted, multi-termperature</t>
  </si>
  <si>
    <t>Combination of different categories, same housing, one chiller</t>
  </si>
  <si>
    <t>(Tv1+Tv2)/2 (*)</t>
  </si>
  <si>
    <t>(*) For multi-temperature vending machines, Tv shall be the average of Tv1 (the maximum measured product temperature in the warmest compartment) and Tv2 (the maximum measured product temperature in the coldest compartment).</t>
  </si>
  <si>
    <t>1+(12-Tv)/25</t>
  </si>
  <si>
    <t>(*) For multi-temperature vending machines, Tv shall be the average of Tv1 (max. measured product temp. in warmest compartment) and Tv2 (max. measured product temp. in coldest compartment)</t>
  </si>
  <si>
    <t>(*) Bei Verkaufsautomaten mit Bereichen unterschiedlicher Temperaturen ist Tv der Mittelwert von Tv1 (höchste gemessene Warentemp im wärmsten Fach) und Tv2 (höchste gemessene Warentemp. Im kältesten Fach)</t>
  </si>
  <si>
    <t>M-Wert</t>
  </si>
  <si>
    <t>N-Wert</t>
  </si>
  <si>
    <t>Y-Wert</t>
  </si>
  <si>
    <t>C-Wert</t>
  </si>
  <si>
    <t>Tc-Wert (Getränkekühler&amp;Glacé-Truhen), Tv (Verkaufsautomaten)</t>
  </si>
  <si>
    <t>CC-Wert (Getränkekühler&amp;Glacé-Truhen)</t>
  </si>
  <si>
    <t>Energieeffizienzindex (EEI = AE/SAE*100)</t>
  </si>
  <si>
    <t>Energy Efficiency Index (EEI = AE/SAE*100)</t>
  </si>
  <si>
    <t>Standard Jahresenergieverbrauch (SAE)   ((M+N*Y)*365*P*C)</t>
  </si>
  <si>
    <t>Jahresenergieverbrauch (AE)</t>
  </si>
  <si>
    <t>Standard Annual Energy Consumption (SAE)   ((M+N*Y)*365*P*C)</t>
  </si>
  <si>
    <t>Annual Energy Consumption (AE)</t>
  </si>
  <si>
    <t>Max. EEI für Topten.eu und die Förderprogramme in der Schweiz und Österreich</t>
  </si>
  <si>
    <t>Zukünftige Effizienzklasse (ab 03.2021)</t>
  </si>
  <si>
    <t>Sì</t>
  </si>
  <si>
    <t>Couvercle du coffreà glace (transparent ou non transparent)</t>
  </si>
  <si>
    <t>Coperchio cassone per gelato (trasparente vs. non trasparente)</t>
  </si>
  <si>
    <t>Stockage</t>
  </si>
  <si>
    <t>Réfrigérateurs comptoirs</t>
  </si>
  <si>
    <t>Frigorifero sottopiano</t>
  </si>
  <si>
    <t>Armoires réfrigérées - 1 porte</t>
  </si>
  <si>
    <t>Armadi frigoriferi a una porta</t>
  </si>
  <si>
    <t>Armoires réfrigérées - 2 portes</t>
  </si>
  <si>
    <t>Armadi frigoriferi a due porte</t>
  </si>
  <si>
    <t>Armoires congékateur - sous plan</t>
  </si>
  <si>
    <t>Armadi congelatore sottopiano</t>
  </si>
  <si>
    <t>Armoires congélateur - 1 porte</t>
  </si>
  <si>
    <t>Armadi congelatore a una porta</t>
  </si>
  <si>
    <t>Armoires congélateur - 2 portes</t>
  </si>
  <si>
    <t>Armadi congelatore a due porte</t>
  </si>
  <si>
    <t>Réfrigérateurs - congélateurs</t>
  </si>
  <si>
    <t xml:space="preserve"> * pour les armoires de taille moyenne (TDA &lt; 2 m2)</t>
  </si>
  <si>
    <t xml:space="preserve"> * per armadi di medie dimensioni (TDA &lt; 2 m2)</t>
  </si>
  <si>
    <t xml:space="preserve"> ** pour grandes armoires (TDA &gt;= 2 m2)</t>
  </si>
  <si>
    <t xml:space="preserve"> ** per armadi di grandi dimensioni (TDA &gt;= 2 m2)</t>
  </si>
  <si>
    <t xml:space="preserve"> (*) Pour les distributeurs automatiques multi-températures, Tv est la moyenne de Tv1 (température max. mesurée du produit dans le compartiment le plus chaud) et Tv2 (température max. mesurée du produit dans le compartiment le plus froid)</t>
  </si>
  <si>
    <t xml:space="preserve"> (*) Per i distributori automatici a più temperature, la Tv è la media della Tv1 (temperatura massima misurata del prodotto nel compartimento più caldo) e della Tv2 (temperatura massima misurata del prodotto nel compartimento più freddo).</t>
  </si>
  <si>
    <t>Valeur M</t>
  </si>
  <si>
    <t>Valore M</t>
  </si>
  <si>
    <t>Valeur N</t>
  </si>
  <si>
    <t>Valore N</t>
  </si>
  <si>
    <t>Valeur Y</t>
  </si>
  <si>
    <t>Valore Y</t>
  </si>
  <si>
    <t>Valeur Tc (pour réfrigétateurs à boisson et congélateurs à glace)</t>
  </si>
  <si>
    <t>Valore Tc (per frigoriferi per bevande et congelatori per gelati)</t>
  </si>
  <si>
    <t>Valeur CC (pour réfrigétateurs à boisson et congélateurs à glace)</t>
  </si>
  <si>
    <t>Valore CC (per frigoriferi per bevande et congelatori per gelati)</t>
  </si>
  <si>
    <t>Valeur C</t>
  </si>
  <si>
    <t>Valore C</t>
  </si>
  <si>
    <t>Consommation énergétique annuelle (AE)</t>
  </si>
  <si>
    <t>Consumo annuo di energia (AE)</t>
  </si>
  <si>
    <t>Consommation énergétique annuelle standard (SAE)   ((M+N*Y)*365*P*C)</t>
  </si>
  <si>
    <t>Consumo standard di energia annuale (SAE) ((M+N*Y)*365*P*C)</t>
  </si>
  <si>
    <t>Index d'efficacité énergétique (EEI = AE/SAE*100)</t>
  </si>
  <si>
    <t>Indice di efficienza energetica (EEI = AE/SAE*100)</t>
  </si>
  <si>
    <t>EEI maximal pour Topten.eu et le programme de subvention en Suisse</t>
  </si>
  <si>
    <t>IEE massimo per Topten.eu e il programma di sovvenzioni in Svizzera</t>
  </si>
  <si>
    <t>Classe d'efficacité énergétique (à partir de 03.2021)</t>
  </si>
  <si>
    <t>Classe di efficienza energetica (dal 03.2021)</t>
  </si>
  <si>
    <t>VETRINE</t>
  </si>
  <si>
    <t>VERKAUFSKÜHLMÖBEL</t>
  </si>
  <si>
    <t>KÜHL</t>
  </si>
  <si>
    <t>TIEFKÜHL</t>
  </si>
  <si>
    <t>REFRIGERAZIONE</t>
  </si>
  <si>
    <t>CONGELAZIONE</t>
  </si>
  <si>
    <t>VERKAUFSAUTOMATEN</t>
  </si>
  <si>
    <t>DISTRIBUTORI AUTOMATICI</t>
  </si>
  <si>
    <t>DISTRIBUTEURS AUTOMATIQUES</t>
  </si>
  <si>
    <t>Hinweis: Aktuelle Auswahlkriterien und Version dieses Excels finden Sie unter www.topten.ch/business/selection-criteria/auswahlkriterien-verkaufs-kuhlgerate</t>
  </si>
  <si>
    <t>Current versions of selection criteria for refrigerated vending machines can be found on www.topten.eu/private/selection-criteria/refrigerated-vending-machines</t>
  </si>
  <si>
    <t>Current versions of selection criteria for ice-cream freezers can be found on www.topten.eu/private/selection-criteria/beverage-coolers</t>
  </si>
  <si>
    <t>Current versions of selection criteria for beverage coolers can be found on www.topten.eu/private/selection-criteria/beverage-coolers</t>
  </si>
  <si>
    <t>Auswahlkriterien für Verkaufautomaten finden Sie unter www.topten.ch/business/selection-criteria/gekuhlte-verkaufsautomaten</t>
  </si>
  <si>
    <t>Critères de sélection distributeurs automatiques réfrigérés sont téléchargeables sur www.topten.ch/business/selection-criteria/distributeurs-automatiques-refrigeres</t>
  </si>
  <si>
    <t>Note : les critères de sélection actuels et ce fichier excel sont téléchargeables sur www.topten.ch/business/selection-criteria/criteres-de-selection-presentoires-de-vente-refrigeres</t>
  </si>
  <si>
    <t>Nota: la versione attuale dei criteri di selezione è presente anche su www.topten.ch/business/selection-criteria/criteri-di-scelta-frigoriferi-e-congelatori-per-la-vendita</t>
  </si>
  <si>
    <t>La versione attuale dei criteri di selezione distributori automatici refrigerati è presente anche su www.topten.ch/business/selection-criteria/distributori-automatici-refrigerati</t>
  </si>
  <si>
    <t>WEINKÜHLER</t>
  </si>
  <si>
    <t>TIEFKÜHLSCHRÄNKE MIT GLASTÜREN</t>
  </si>
  <si>
    <t>KLEINE THEKEN-GEFRIERGERÄTE</t>
  </si>
  <si>
    <t>GEKÜHLTE VERKAUFSAUTOMATEN</t>
  </si>
  <si>
    <t>KÜHLTRUHEN</t>
  </si>
  <si>
    <t>KÜHLREGALE</t>
  </si>
  <si>
    <t>GETRÄNKE-KÜHLER</t>
  </si>
  <si>
    <t>EISCREME-TRUHEN</t>
  </si>
  <si>
    <t>TIEFKÜHL- UND UNIVERSALTRUHEN</t>
  </si>
  <si>
    <t>ARMOIRES À BIOSSON</t>
  </si>
  <si>
    <t>CONGÉLATEUR POUR GLACES</t>
  </si>
  <si>
    <t>BAHUTS RÉFRIGÉRÉS</t>
  </si>
  <si>
    <t>BAHUTS UNIVERSELS ET DE CONGÉLATION</t>
  </si>
  <si>
    <t>MEUBLES VERTICAUX DE CONGÉLATION AVEC PORTE EN VERRE</t>
  </si>
  <si>
    <t>PETITS COMPTOIRS DE CONGÉLATION</t>
  </si>
  <si>
    <t>DISTRIBUTEURS AUTOMATIQUES RÉFRIGÉRÉS</t>
  </si>
  <si>
    <t>MINIBAR</t>
  </si>
  <si>
    <t>CONGELATORI VERTICALI CON VETRINA</t>
  </si>
  <si>
    <t>CONGELATORE DA BANCO PICCOLO</t>
  </si>
  <si>
    <t>DISTRIBUTORI AUTOMATICI REFRIGERATI</t>
  </si>
  <si>
    <t>CANTINETTE PER IL VINO</t>
  </si>
  <si>
    <t>FRIGOVETRINE</t>
  </si>
  <si>
    <t>FRIGOVETRINE PER BIBITE</t>
  </si>
  <si>
    <t>CONGELATORI PER GELATO</t>
  </si>
  <si>
    <t>FRIGORIFERI ORIZZONTALI PER LA VENDITA</t>
  </si>
  <si>
    <t>BANCHI UNIVERSALI E DI CONGELATIONE</t>
  </si>
  <si>
    <t>Future Energy Efficiency Class (from 03.2021)</t>
  </si>
  <si>
    <t>Allowed in CH after 01.03.2021</t>
  </si>
  <si>
    <t>Allowed in CH after 01.09.2023</t>
  </si>
  <si>
    <t>Verkauf in der Schweiz erlaubt nach 01.03.2021</t>
  </si>
  <si>
    <t>Verkauf in der Schweiz erlaubt nach 01.09.2023</t>
  </si>
  <si>
    <t xml:space="preserve"> Autorisé en Suisse après le 01.03.2021</t>
  </si>
  <si>
    <t xml:space="preserve"> Autorisé en Suisse après le 01.09.2023</t>
  </si>
  <si>
    <t>Ammesso in CH dopo il 01.03.2021</t>
  </si>
  <si>
    <t>Ammesso in CH dopo il 01.09.2023</t>
  </si>
  <si>
    <t>Swiss Minimum Requirements 01.03.2021</t>
  </si>
  <si>
    <t>Swiss Minimum Requirements 01.09.2023</t>
  </si>
  <si>
    <t>Schweizer Mindesanforderungen ab 01.03.2021</t>
  </si>
  <si>
    <t>Schweizer Mindesanforderungen ab 01.09.2023</t>
  </si>
  <si>
    <t>Requisiti minimi svizzeri dal 01.09.2023</t>
  </si>
  <si>
    <t>Requisiti minimi svizzeri dal 01.03.2021</t>
  </si>
  <si>
    <t>Exigences minimales suisses à partir du 01.03.2021</t>
  </si>
  <si>
    <t>Exigences minimales suisses à partir du 01.09.2023</t>
  </si>
  <si>
    <t>SMALL COUNTER-TOP REFRIGERATORS</t>
  </si>
  <si>
    <t>VITRINES RÉFRIGÉRÉES DE COMPTOIR</t>
  </si>
  <si>
    <t>VETRINE REFRIGERATE DA BANCO</t>
  </si>
  <si>
    <t>GEKÜHLTE THEKEN-VERKAUFSVITRINEN</t>
  </si>
  <si>
    <t>Note: Current versions of selection criteria for supermarket cabinets and this excel can be found under https://www.topten.eu/private/selection-criteria/refrigerated-display-cabinets</t>
  </si>
  <si>
    <t>P-Wert</t>
  </si>
  <si>
    <t>Valeur P</t>
  </si>
  <si>
    <t>Valore P</t>
  </si>
  <si>
    <t>Value for P</t>
  </si>
  <si>
    <t>Topten International, Zürich, 22.02.2022</t>
  </si>
  <si>
    <t>Type of Cooling</t>
  </si>
  <si>
    <t>Art der Kühlung</t>
  </si>
  <si>
    <t>Mode de réfrigération</t>
  </si>
  <si>
    <t>Tipo di raffreddamento</t>
  </si>
  <si>
    <t>M0</t>
  </si>
  <si>
    <t>3. SYSTEM: this tool calculates the energy efficiency of integral (plug-in) or centrally cooled (remote) appliances, depending on your selection for "Type of Cooling"</t>
  </si>
  <si>
    <t>3. SYSTEM: Dieses Berechnungstool funktioniert für steckerfertige und zentralgekühlte Geräte</t>
  </si>
  <si>
    <t>3. SYSTÈME: cet outil calcule l'efficacité énergétique des appareils intégrés (avec prise) et des appareils à refroidissement central (groupes à distance)</t>
  </si>
  <si>
    <t>SISTEMA: questo tool calcola l'efficienza energetica degli apparecchi integrali (a spina) e degli apparecchi con raffreddamento centralizzato (remoto).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</si>
</sst>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4"/>
      <color rgb="FF000000"/>
      <name val="Calibri"/>
      <family val="2"/>
    </font>
    <font>
      <sz val="12"/>
      <color theme="1"/>
      <name val="Cambria"/>
      <family val="1"/>
    </font>
    <font>
      <sz val="14"/>
      <name val="Calibri"/>
      <family val="2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4B4B4B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5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center"/>
    </xf>
    <xf numFmtId="1" fontId="0" fillId="0" borderId="0" xfId="0" applyNumberFormat="1"/>
    <xf numFmtId="0" fontId="1" fillId="2" borderId="1" xfId="0" applyFont="1" applyFill="1" applyBorder="1" applyAlignment="1">
      <alignment vertical="center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ill="1"/>
    <xf numFmtId="0" fontId="5" fillId="0" borderId="0" xfId="0" applyFont="1"/>
    <xf numFmtId="0" fontId="0" fillId="0" borderId="0" xfId="0" applyProtection="1">
      <protection locked="0"/>
    </xf>
    <xf numFmtId="0" fontId="7" fillId="4" borderId="5" xfId="0" applyFont="1" applyFill="1" applyBorder="1"/>
    <xf numFmtId="0" fontId="8" fillId="4" borderId="5" xfId="0" applyFont="1" applyFill="1" applyBorder="1"/>
    <xf numFmtId="0" fontId="9" fillId="5" borderId="5" xfId="0" applyFont="1" applyFill="1" applyBorder="1"/>
    <xf numFmtId="0" fontId="9" fillId="5" borderId="5" xfId="0" applyFont="1" applyFill="1" applyBorder="1" applyAlignment="1">
      <alignment horizontal="center"/>
    </xf>
    <xf numFmtId="0" fontId="0" fillId="5" borderId="5" xfId="0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/>
    <xf numFmtId="0" fontId="12" fillId="0" borderId="0" xfId="0" applyFont="1" applyFill="1" applyAlignment="1">
      <alignment vertical="center"/>
    </xf>
    <xf numFmtId="0" fontId="0" fillId="0" borderId="0" xfId="0" applyFill="1" applyAlignment="1"/>
    <xf numFmtId="0" fontId="13" fillId="0" borderId="0" xfId="0" applyFont="1"/>
    <xf numFmtId="0" fontId="14" fillId="0" borderId="0" xfId="0" applyFont="1"/>
    <xf numFmtId="0" fontId="16" fillId="0" borderId="4" xfId="0" applyFont="1" applyFill="1" applyBorder="1"/>
    <xf numFmtId="0" fontId="15" fillId="0" borderId="4" xfId="0" applyFont="1" applyFill="1" applyBorder="1"/>
    <xf numFmtId="0" fontId="14" fillId="0" borderId="0" xfId="0" applyFont="1" applyFill="1"/>
    <xf numFmtId="0" fontId="17" fillId="0" borderId="0" xfId="0" applyFont="1" applyFill="1" applyAlignment="1"/>
    <xf numFmtId="0" fontId="15" fillId="0" borderId="0" xfId="0" applyFont="1"/>
    <xf numFmtId="0" fontId="0" fillId="0" borderId="3" xfId="0" applyBorder="1"/>
    <xf numFmtId="0" fontId="4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" fontId="0" fillId="2" borderId="0" xfId="0" applyNumberFormat="1" applyFill="1" applyBorder="1"/>
    <xf numFmtId="0" fontId="0" fillId="2" borderId="0" xfId="0" applyFill="1" applyBorder="1"/>
    <xf numFmtId="0" fontId="0" fillId="2" borderId="10" xfId="0" applyFill="1" applyBorder="1"/>
    <xf numFmtId="0" fontId="6" fillId="2" borderId="9" xfId="0" applyFont="1" applyFill="1" applyBorder="1"/>
    <xf numFmtId="0" fontId="6" fillId="2" borderId="11" xfId="0" applyFont="1" applyFill="1" applyBorder="1"/>
    <xf numFmtId="1" fontId="0" fillId="2" borderId="12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16" fillId="0" borderId="0" xfId="0" applyFont="1" applyFill="1"/>
    <xf numFmtId="0" fontId="16" fillId="0" borderId="0" xfId="0" applyFont="1"/>
    <xf numFmtId="0" fontId="18" fillId="0" borderId="0" xfId="0" applyFont="1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0" borderId="0" xfId="0" applyNumberFormat="1"/>
    <xf numFmtId="0" fontId="0" fillId="3" borderId="2" xfId="0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0" fillId="0" borderId="4" xfId="0" applyFont="1" applyFill="1" applyBorder="1"/>
    <xf numFmtId="0" fontId="19" fillId="0" borderId="0" xfId="0" applyFont="1" applyFill="1"/>
    <xf numFmtId="0" fontId="16" fillId="0" borderId="4" xfId="0" quotePrefix="1" applyFont="1" applyFill="1" applyBorder="1" applyAlignment="1">
      <alignment horizontal="right"/>
    </xf>
    <xf numFmtId="0" fontId="0" fillId="0" borderId="0" xfId="0" applyFill="1" applyProtection="1">
      <protection locked="0"/>
    </xf>
    <xf numFmtId="0" fontId="0" fillId="0" borderId="0" xfId="0" quotePrefix="1" applyAlignment="1">
      <alignment horizontal="right"/>
    </xf>
    <xf numFmtId="0" fontId="21" fillId="3" borderId="0" xfId="0" applyFont="1" applyFill="1" applyProtection="1">
      <protection locked="0"/>
    </xf>
    <xf numFmtId="0" fontId="6" fillId="0" borderId="0" xfId="0" applyFont="1"/>
    <xf numFmtId="164" fontId="20" fillId="0" borderId="4" xfId="0" applyNumberFormat="1" applyFont="1" applyFill="1" applyBorder="1"/>
    <xf numFmtId="0" fontId="5" fillId="0" borderId="0" xfId="0" applyFont="1" applyBorder="1"/>
    <xf numFmtId="0" fontId="5" fillId="0" borderId="3" xfId="0" applyFont="1" applyBorder="1"/>
    <xf numFmtId="0" fontId="0" fillId="0" borderId="0" xfId="0" applyFont="1"/>
    <xf numFmtId="0" fontId="1" fillId="0" borderId="1" xfId="0" applyFont="1" applyFill="1" applyBorder="1" applyAlignment="1">
      <alignment vertical="center"/>
    </xf>
    <xf numFmtId="164" fontId="16" fillId="0" borderId="4" xfId="0" applyNumberFormat="1" applyFont="1" applyFill="1" applyBorder="1"/>
    <xf numFmtId="0" fontId="16" fillId="0" borderId="4" xfId="0" applyFont="1" applyFill="1" applyBorder="1" applyAlignment="1">
      <alignment horizontal="right"/>
    </xf>
    <xf numFmtId="0" fontId="22" fillId="0" borderId="0" xfId="0" applyFont="1"/>
  </cellXfs>
  <cellStyles count="3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Normal" xfId="0" builtinId="0"/>
  </cellStyles>
  <dxfs count="60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12</xdr:row>
      <xdr:rowOff>51991</xdr:rowOff>
    </xdr:from>
    <xdr:to>
      <xdr:col>4</xdr:col>
      <xdr:colOff>1122172</xdr:colOff>
      <xdr:row>12</xdr:row>
      <xdr:rowOff>575564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2400" y="3417491"/>
          <a:ext cx="283972" cy="523573"/>
        </a:xfrm>
        <a:prstGeom prst="rect">
          <a:avLst/>
        </a:prstGeom>
      </xdr:spPr>
    </xdr:pic>
    <xdr:clientData/>
  </xdr:twoCellAnchor>
  <xdr:twoCellAnchor editAs="oneCell">
    <xdr:from>
      <xdr:col>6</xdr:col>
      <xdr:colOff>774700</xdr:colOff>
      <xdr:row>12</xdr:row>
      <xdr:rowOff>143782</xdr:rowOff>
    </xdr:from>
    <xdr:to>
      <xdr:col>6</xdr:col>
      <xdr:colOff>1230376</xdr:colOff>
      <xdr:row>12</xdr:row>
      <xdr:rowOff>583184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5700" y="3509282"/>
          <a:ext cx="455676" cy="439402"/>
        </a:xfrm>
        <a:prstGeom prst="rect">
          <a:avLst/>
        </a:prstGeom>
      </xdr:spPr>
    </xdr:pic>
    <xdr:clientData/>
  </xdr:twoCellAnchor>
  <xdr:twoCellAnchor editAs="oneCell">
    <xdr:from>
      <xdr:col>12</xdr:col>
      <xdr:colOff>647700</xdr:colOff>
      <xdr:row>12</xdr:row>
      <xdr:rowOff>111664</xdr:rowOff>
    </xdr:from>
    <xdr:to>
      <xdr:col>12</xdr:col>
      <xdr:colOff>1275588</xdr:colOff>
      <xdr:row>12</xdr:row>
      <xdr:rowOff>561848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22300" y="3477164"/>
          <a:ext cx="627888" cy="450184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12</xdr:row>
      <xdr:rowOff>99359</xdr:rowOff>
    </xdr:from>
    <xdr:to>
      <xdr:col>8</xdr:col>
      <xdr:colOff>1223264</xdr:colOff>
      <xdr:row>12</xdr:row>
      <xdr:rowOff>587756</xdr:rowOff>
    </xdr:to>
    <xdr:pic>
      <xdr:nvPicPr>
        <xdr:cNvPr id="6" name="Bi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9800" y="3464859"/>
          <a:ext cx="461264" cy="488397"/>
        </a:xfrm>
        <a:prstGeom prst="rect">
          <a:avLst/>
        </a:prstGeom>
      </xdr:spPr>
    </xdr:pic>
    <xdr:clientData/>
  </xdr:twoCellAnchor>
  <xdr:twoCellAnchor editAs="oneCell">
    <xdr:from>
      <xdr:col>18</xdr:col>
      <xdr:colOff>482600</xdr:colOff>
      <xdr:row>12</xdr:row>
      <xdr:rowOff>152400</xdr:rowOff>
    </xdr:from>
    <xdr:to>
      <xdr:col>18</xdr:col>
      <xdr:colOff>1367028</xdr:colOff>
      <xdr:row>12</xdr:row>
      <xdr:rowOff>551819</xdr:rowOff>
    </xdr:to>
    <xdr:pic>
      <xdr:nvPicPr>
        <xdr:cNvPr id="15" name="Bild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94000" y="3517900"/>
          <a:ext cx="884428" cy="399419"/>
        </a:xfrm>
        <a:prstGeom prst="rect">
          <a:avLst/>
        </a:prstGeom>
      </xdr:spPr>
    </xdr:pic>
    <xdr:clientData/>
  </xdr:twoCellAnchor>
  <xdr:twoCellAnchor editAs="oneCell">
    <xdr:from>
      <xdr:col>14</xdr:col>
      <xdr:colOff>698500</xdr:colOff>
      <xdr:row>12</xdr:row>
      <xdr:rowOff>101600</xdr:rowOff>
    </xdr:from>
    <xdr:to>
      <xdr:col>14</xdr:col>
      <xdr:colOff>1193800</xdr:colOff>
      <xdr:row>12</xdr:row>
      <xdr:rowOff>546100</xdr:rowOff>
    </xdr:to>
    <xdr:pic>
      <xdr:nvPicPr>
        <xdr:cNvPr id="18" name="Bild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6600" y="3467100"/>
          <a:ext cx="495300" cy="44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825498</xdr:colOff>
      <xdr:row>12</xdr:row>
      <xdr:rowOff>177800</xdr:rowOff>
    </xdr:from>
    <xdr:to>
      <xdr:col>16</xdr:col>
      <xdr:colOff>1099244</xdr:colOff>
      <xdr:row>12</xdr:row>
      <xdr:rowOff>536430</xdr:rowOff>
    </xdr:to>
    <xdr:pic>
      <xdr:nvPicPr>
        <xdr:cNvPr id="19" name="Bild 18" descr="Macintosh HD:Users:bush-energie:Desktop:Bildschirmfoto 2015-11-05 um 14.57.52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398" y="3543300"/>
          <a:ext cx="273746" cy="3586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800100</xdr:colOff>
      <xdr:row>12</xdr:row>
      <xdr:rowOff>63499</xdr:rowOff>
    </xdr:from>
    <xdr:to>
      <xdr:col>20</xdr:col>
      <xdr:colOff>1093946</xdr:colOff>
      <xdr:row>12</xdr:row>
      <xdr:rowOff>576750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8BDC3E-616E-D241-B18D-6813C2BBF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088600" y="3365499"/>
          <a:ext cx="293846" cy="513251"/>
        </a:xfrm>
        <a:prstGeom prst="rect">
          <a:avLst/>
        </a:prstGeom>
      </xdr:spPr>
    </xdr:pic>
    <xdr:clientData/>
  </xdr:twoCellAnchor>
  <xdr:twoCellAnchor editAs="oneCell">
    <xdr:from>
      <xdr:col>2</xdr:col>
      <xdr:colOff>3416300</xdr:colOff>
      <xdr:row>0</xdr:row>
      <xdr:rowOff>12700</xdr:rowOff>
    </xdr:from>
    <xdr:to>
      <xdr:col>3</xdr:col>
      <xdr:colOff>0</xdr:colOff>
      <xdr:row>1</xdr:row>
      <xdr:rowOff>43334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DF298A9C-3C29-1C47-AFB1-ACCFE318E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97400" y="12700"/>
          <a:ext cx="977900" cy="297334"/>
        </a:xfrm>
        <a:prstGeom prst="rect">
          <a:avLst/>
        </a:prstGeom>
      </xdr:spPr>
    </xdr:pic>
    <xdr:clientData/>
  </xdr:twoCellAnchor>
  <xdr:oneCellAnchor>
    <xdr:from>
      <xdr:col>10</xdr:col>
      <xdr:colOff>736552</xdr:colOff>
      <xdr:row>12</xdr:row>
      <xdr:rowOff>111664</xdr:rowOff>
    </xdr:from>
    <xdr:ext cx="450184" cy="450184"/>
    <xdr:pic>
      <xdr:nvPicPr>
        <xdr:cNvPr id="11" name="Bild 4">
          <a:extLst>
            <a:ext uri="{FF2B5EF4-FFF2-40B4-BE49-F238E27FC236}">
              <a16:creationId xmlns:a16="http://schemas.microsoft.com/office/drawing/2014/main" id="{E36D5847-046E-BA4E-AEB8-8C5B2E792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77852" y="3515264"/>
          <a:ext cx="450184" cy="4501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U49"/>
  <sheetViews>
    <sheetView showGridLines="0" tabSelected="1" zoomScale="55" zoomScaleNormal="55" workbookViewId="0">
      <pane xSplit="3" topLeftCell="D1" activePane="topRight" state="frozen"/>
      <selection pane="topRight" activeCell="B2" sqref="B2"/>
    </sheetView>
  </sheetViews>
  <sheetFormatPr defaultColWidth="10.85546875" defaultRowHeight="18.5"/>
  <cols>
    <col min="1" max="1" width="4" customWidth="1"/>
    <col min="2" max="2" width="9.28515625" customWidth="1"/>
    <col min="3" max="3" width="49.42578125" customWidth="1"/>
    <col min="4" max="4" width="4" customWidth="1"/>
    <col min="5" max="5" width="22.28515625" customWidth="1"/>
    <col min="6" max="6" width="4" customWidth="1"/>
    <col min="7" max="7" width="22.28515625" customWidth="1"/>
    <col min="8" max="8" width="4" customWidth="1"/>
    <col min="9" max="9" width="22.28515625" customWidth="1"/>
    <col min="10" max="10" width="4" customWidth="1"/>
    <col min="11" max="11" width="22.28515625" customWidth="1"/>
    <col min="12" max="12" width="4" customWidth="1"/>
    <col min="13" max="13" width="22.28515625" customWidth="1"/>
    <col min="14" max="14" width="4" customWidth="1"/>
    <col min="15" max="15" width="22.28515625" customWidth="1"/>
    <col min="16" max="16" width="4" customWidth="1"/>
    <col min="17" max="17" width="22.28515625" customWidth="1"/>
    <col min="18" max="18" width="4" customWidth="1"/>
    <col min="19" max="19" width="22.28515625" customWidth="1"/>
    <col min="20" max="20" width="4" customWidth="1"/>
    <col min="21" max="21" width="22.28515625" customWidth="1"/>
  </cols>
  <sheetData>
    <row r="1" spans="2:21" ht="21">
      <c r="B1" s="60" t="s">
        <v>296</v>
      </c>
    </row>
    <row r="2" spans="2:21" ht="21">
      <c r="B2" s="59" t="s">
        <v>10</v>
      </c>
      <c r="C2" s="21"/>
    </row>
    <row r="4" spans="2:21" ht="23.5">
      <c r="B4" s="29" t="str">
        <f>HLOOKUP($B$2,Languages!$A$1:$M$52,2,FALSE)</f>
        <v>CHECK IF A PRODUCT MEETS THE TOPTEN SELECTION CRITERIA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</row>
    <row r="5" spans="2:21">
      <c r="B5" s="32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</row>
    <row r="6" spans="2:21" ht="21">
      <c r="B6" s="36" t="str">
        <f>HLOOKUP($B$2,Languages!$A$1:$M$52,3,FALSE)</f>
        <v>1. REFRIGERANT : must be a natural refrigerant with global warming potential, GWP, below 3 (e.g. R290/propane, R600a/isobutane, R744/CO2)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/>
    </row>
    <row r="7" spans="2:21" ht="21">
      <c r="B7" s="36" t="str">
        <f>HLOOKUP($B$2,Languages!$A$1:$M$52,4,FALSE)</f>
        <v>2. ENERGY EFFICIENCY : depending on type, fill in the blue fields below</v>
      </c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5"/>
    </row>
    <row r="8" spans="2:21" ht="21">
      <c r="B8" s="37" t="str">
        <f>HLOOKUP($B$2,Languages!$A$1:$M$52,6,FALSE)</f>
        <v>3. SYSTEM: this tool calculates the energy efficiency of integral (plug-in) or centrally cooled (remote) appliances, depending on your selection for "Type of Cooling"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40"/>
    </row>
    <row r="9" spans="2:21" ht="19" thickBot="1">
      <c r="C9" s="2"/>
    </row>
    <row r="10" spans="2:21" ht="19" thickBot="1">
      <c r="C10" s="2"/>
      <c r="E10" s="13" t="str">
        <f>HLOOKUP($B$2,Languages!$A$1:$M$52,20,FALSE)</f>
        <v>DISPLAY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2:21" ht="19" thickBot="1">
      <c r="C11" s="2"/>
      <c r="I11" s="14"/>
      <c r="J11" s="15"/>
      <c r="K11" s="15" t="str">
        <f>HLOOKUP($B$2,Languages!$A$1:$M$52,22,FALSE)</f>
        <v>REFRIGERATORS</v>
      </c>
      <c r="L11" s="15"/>
      <c r="M11" s="16"/>
      <c r="O11" s="14"/>
      <c r="P11" s="16"/>
      <c r="Q11" s="15" t="str">
        <f>HLOOKUP($B$2,Languages!$A$1:$M$52,23,FALSE)</f>
        <v>FREEZERS</v>
      </c>
      <c r="R11" s="16"/>
      <c r="S11" s="16"/>
      <c r="U11" s="15" t="str">
        <f>HLOOKUP($B$2,Languages!$A$1:$M$52,37,FALSE)</f>
        <v>VENDING MACHINES</v>
      </c>
    </row>
    <row r="12" spans="2:21" s="7" customFormat="1" ht="37.5" thickBot="1">
      <c r="D12"/>
      <c r="E12" s="8" t="str">
        <f>HLOOKUP($B$2,Languages!$A$1:$M$52,24,FALSE)</f>
        <v>BEVERAGE COOLERS</v>
      </c>
      <c r="F12"/>
      <c r="G12" s="8" t="str">
        <f>HLOOKUP($B$2,Languages!$A$1:$M$52,25,FALSE)</f>
        <v>ICE CREAM FREEZERS</v>
      </c>
      <c r="H12"/>
      <c r="I12" s="8" t="str">
        <f>HLOOKUP($B$2,Languages!$A$1:$M$52,26,FALSE)</f>
        <v>VERTICAL CHILLED DISPLAY CABINETS</v>
      </c>
      <c r="J12"/>
      <c r="K12" s="8" t="str">
        <f>HLOOKUP($B$2,Languages!$A$1:$M$52,27,FALSE)</f>
        <v>SMALL COUNTER-TOP REFRIGERATORS</v>
      </c>
      <c r="L12"/>
      <c r="M12" s="8" t="str">
        <f>HLOOKUP($B$2,Languages!$A$1:$M$52,28,FALSE)</f>
        <v>HORIZONTAL CHILLED DISPLAY CABINETS</v>
      </c>
      <c r="N12"/>
      <c r="O12" s="8" t="str">
        <f>HLOOKUP($B$2,Languages!$A$1:$M$52,40,FALSE)</f>
        <v>VERTICAL FREEZERS WITH GLASS DOORS</v>
      </c>
      <c r="P12"/>
      <c r="Q12" s="8" t="str">
        <f>HLOOKUP($B$2,Languages!$A$1:$M$52,41,FALSE)</f>
        <v>SMALL COUNTER-TOP FREEZERS</v>
      </c>
      <c r="R12"/>
      <c r="S12" s="8" t="str">
        <f>HLOOKUP($B$2,Languages!$A$1:$M$52,29,FALSE)</f>
        <v>HORIZONTAL DISPLAY FREEZERS</v>
      </c>
      <c r="T12"/>
      <c r="U12" s="8" t="str">
        <f>HLOOKUP($B$2,Languages!$A$1:$M$52,42,FALSE)</f>
        <v>REFRIGERATED VENDING MACHINES</v>
      </c>
    </row>
    <row r="13" spans="2:21" ht="47" customHeight="1"/>
    <row r="14" spans="2:21" s="1" customFormat="1" ht="29" customHeight="1">
      <c r="C14" s="6" t="str">
        <f>HLOOKUP($B$2,Languages!$A$1:$M$52,9,FALSE)</f>
        <v>Brand</v>
      </c>
      <c r="D14"/>
      <c r="E14" s="48"/>
      <c r="F14"/>
      <c r="G14" s="4"/>
      <c r="H14"/>
      <c r="I14" s="47"/>
      <c r="J14"/>
      <c r="K14" s="47"/>
      <c r="L14"/>
      <c r="M14" s="47"/>
      <c r="N14" s="50"/>
      <c r="O14" s="47"/>
      <c r="P14" s="50"/>
      <c r="Q14" s="47"/>
      <c r="R14" s="50"/>
      <c r="S14" s="47"/>
      <c r="T14"/>
      <c r="U14" s="47"/>
    </row>
    <row r="15" spans="2:21" s="1" customFormat="1" ht="29" customHeight="1">
      <c r="C15" s="6" t="str">
        <f>HLOOKUP($B$2,Languages!$A$1:$M$52,10,FALSE)</f>
        <v>Model</v>
      </c>
      <c r="D15"/>
      <c r="E15" s="48"/>
      <c r="F15"/>
      <c r="G15" s="4"/>
      <c r="H15"/>
      <c r="I15" s="47"/>
      <c r="J15"/>
      <c r="K15" s="47"/>
      <c r="L15"/>
      <c r="M15" s="47"/>
      <c r="N15" s="50"/>
      <c r="O15" s="47"/>
      <c r="P15" s="50"/>
      <c r="Q15" s="47"/>
      <c r="R15" s="50"/>
      <c r="S15" s="47"/>
      <c r="T15"/>
      <c r="U15" s="47"/>
    </row>
    <row r="16" spans="2:21" s="1" customFormat="1" ht="29" customHeight="1">
      <c r="C16" s="6" t="str">
        <f>HLOOKUP($B$2,Languages!$A$1:$M$100,72,FALSE)</f>
        <v>Type of Cooling</v>
      </c>
      <c r="D16"/>
      <c r="E16"/>
      <c r="F16"/>
      <c r="G16"/>
      <c r="H16"/>
      <c r="I16" s="48"/>
      <c r="J16"/>
      <c r="K16" s="48"/>
      <c r="L16"/>
      <c r="M16" s="48"/>
      <c r="N16" s="50"/>
      <c r="O16" s="48"/>
      <c r="P16" s="50"/>
      <c r="Q16" s="48"/>
      <c r="R16" s="50"/>
      <c r="S16" s="48"/>
      <c r="T16"/>
      <c r="U16"/>
    </row>
    <row r="17" spans="1:21" s="1" customFormat="1" ht="29" customHeight="1">
      <c r="C17" s="6" t="str">
        <f>HLOOKUP($B$2,Languages!$A$1:$M$52,11,FALSE)</f>
        <v>Total Display Area (m2)</v>
      </c>
      <c r="D17"/>
      <c r="E17"/>
      <c r="F17"/>
      <c r="G17"/>
      <c r="H17"/>
      <c r="I17" s="47"/>
      <c r="J17"/>
      <c r="K17" s="47"/>
      <c r="L17"/>
      <c r="M17" s="47"/>
      <c r="N17" s="50"/>
      <c r="O17" s="47"/>
      <c r="P17" s="50"/>
      <c r="Q17" s="47"/>
      <c r="R17" s="50"/>
      <c r="S17" s="47"/>
      <c r="T17"/>
      <c r="U17" s="50"/>
    </row>
    <row r="18" spans="1:21" s="1" customFormat="1" ht="29" customHeight="1">
      <c r="C18" s="6" t="str">
        <f>HLOOKUP($B$2,Languages!$A$1:$M$52,12,FALSE)</f>
        <v>Net / Gross Volume (L)</v>
      </c>
      <c r="D18"/>
      <c r="E18" s="47"/>
      <c r="F18"/>
      <c r="G18" s="47"/>
      <c r="H18"/>
      <c r="I18" s="50"/>
      <c r="J18"/>
      <c r="K18" s="50"/>
      <c r="L18"/>
      <c r="M18" s="50"/>
      <c r="N18" s="50"/>
      <c r="O18" s="50"/>
      <c r="P18" s="50"/>
      <c r="Q18" s="50"/>
      <c r="R18" s="50"/>
      <c r="S18" s="51"/>
      <c r="T18"/>
      <c r="U18" s="47"/>
    </row>
    <row r="19" spans="1:21" ht="29" customHeight="1">
      <c r="C19" s="6" t="str">
        <f>HLOOKUP($B$2,Languages!$A$1:$M$52,13,FALSE)</f>
        <v>Energy Consumption (kWh/24h)</v>
      </c>
      <c r="E19" s="47"/>
      <c r="G19" s="47"/>
      <c r="I19" s="47"/>
      <c r="K19" s="47"/>
      <c r="M19" s="47"/>
      <c r="N19" s="50"/>
      <c r="O19" s="47"/>
      <c r="P19" s="50"/>
      <c r="Q19" s="47"/>
      <c r="R19" s="50"/>
      <c r="S19" s="47"/>
      <c r="U19" s="47"/>
    </row>
    <row r="20" spans="1:21" ht="29" customHeight="1">
      <c r="C20" s="6" t="str">
        <f>HLOOKUP($B$2,Languages!$A$1:$M$52,14,FALSE)</f>
        <v>Temperature Class</v>
      </c>
      <c r="E20" s="47"/>
      <c r="G20" s="47"/>
      <c r="I20" s="47"/>
      <c r="K20" s="47"/>
      <c r="M20" s="47"/>
      <c r="N20" s="50"/>
      <c r="O20" s="47"/>
      <c r="P20" s="50"/>
      <c r="Q20" s="47"/>
      <c r="R20" s="50"/>
      <c r="S20" s="47"/>
      <c r="U20" s="47"/>
    </row>
    <row r="21" spans="1:21" ht="29" customHeight="1">
      <c r="C21" s="6" t="str">
        <f>HLOOKUP($B$2,Languages!$A$1:$M$52,15,FALSE)</f>
        <v>Climate Class (Operating Conditions)</v>
      </c>
      <c r="E21" s="47"/>
      <c r="G21" s="47"/>
      <c r="S21" s="49"/>
      <c r="U21" s="49"/>
    </row>
    <row r="22" spans="1:21" ht="29" customHeight="1">
      <c r="C22" s="6" t="str">
        <f>HLOOKUP($B$2,Languages!$A$1:$M$52,16,FALSE)</f>
        <v>Ice-Cream Freezer Lid (Transparent or Solid)</v>
      </c>
      <c r="G22" s="47"/>
      <c r="S22" s="49"/>
      <c r="U22" s="49"/>
    </row>
    <row r="23" spans="1:21" ht="19" thickBot="1">
      <c r="A23" s="5"/>
      <c r="B23" s="5"/>
      <c r="S23" s="49"/>
      <c r="U23" s="50"/>
    </row>
    <row r="24" spans="1:21" ht="29" customHeight="1" thickBot="1">
      <c r="C24" s="3" t="str">
        <f>HLOOKUP($B$2,Languages!$A$1:$M$62,60,FALSE)</f>
        <v>Future Energy Efficiency Class (from 03.2021)</v>
      </c>
      <c r="D24" s="64"/>
      <c r="E24" s="65" t="str">
        <f>IF(OR(ISBLANK(E18),ISBLANK(E19),ISBLANK(E20),ISBLANK(E21)),"?",IF(E37&lt;10,"A",IF(AND(E37&gt;=10,E37&lt;20),"B",IF(AND(E37&gt;=20,E37&lt;35),"C",IF(AND(E37&gt;=35,E37&lt;50),"D",IF(AND(E37&gt;=50,E37&lt;65),"E",IF(AND(E37&gt;=65,E37&lt;80),"F","G")))))))</f>
        <v>?</v>
      </c>
      <c r="F24" s="64"/>
      <c r="G24" s="65" t="str">
        <f>IF(OR(ISBLANK(G18),ISBLANK(G19),ISBLANK(G20),ISBLANK(G21),ISBLANK(G22)),"?",IF(G37&lt;10,"A",IF(AND(G37&gt;=10,G37&lt;20),"B",IF(AND(G37&gt;=20,G37&lt;35),"C",IF(AND(G37&gt;=35,G37&lt;50),"D",IF(AND(G37&gt;=50,G37&lt;65),"E",IF(AND(G37&gt;=65,G37&lt;80),"F","G")))))))</f>
        <v>?</v>
      </c>
      <c r="H24" s="64"/>
      <c r="I24" s="65" t="str">
        <f>IF(OR(ISBLANK(I17),ISBLANK(I19),ISBLANK(I20),),"?",IF(I37&lt;10,"A",IF(AND(I37&gt;=10,I37&lt;20),"B",IF(AND(I37&gt;=20,I37&lt;35),"C",IF(AND(I37&gt;=35,I37&lt;50),"D",IF(AND(I37&gt;=50,I37&lt;65),"E",IF(AND(I37&gt;=65,I37&lt;80),"F","G")))))))</f>
        <v>?</v>
      </c>
      <c r="J24" s="64"/>
      <c r="K24" s="65" t="str">
        <f>IF(OR(ISBLANK(K17),ISBLANK(K19),ISBLANK(K20),),"?",IF(K37&lt;10,"A",IF(AND(K37&gt;=10,K37&lt;20),"B",IF(AND(K37&gt;=20,K37&lt;35),"C",IF(AND(K37&gt;=35,K37&lt;50),"D",IF(AND(K37&gt;=50,K37&lt;65),"E",IF(AND(K37&gt;=65,K37&lt;80),"F","G")))))))</f>
        <v>?</v>
      </c>
      <c r="L24" s="64"/>
      <c r="M24" s="65" t="str">
        <f>IF(OR(ISBLANK(M17),ISBLANK(M19),ISBLANK(M20)),"?",IF(M37&lt;10,"A",IF(AND(M37&gt;=10,M37&lt;20),"B",IF(AND(M37&gt;=20,M37&lt;35),"C",IF(AND(M37&gt;=35,M37&lt;50),"D",IF(AND(M37&gt;=50,M37&lt;65),"E",IF(AND(M37&gt;=65,M37&lt;80),"F","G")))))))</f>
        <v>?</v>
      </c>
      <c r="N24" s="64"/>
      <c r="O24" s="65" t="str">
        <f>IF(OR(ISBLANK(O17),ISBLANK(O19),ISBLANK(O20)),"?",IF(O37&lt;10,"A",IF(AND(O37&gt;=10,O37&lt;20),"B",IF(AND(O37&gt;=20,O37&lt;35),"C",IF(AND(O37&gt;=35,O37&lt;50),"D",IF(AND(O37&gt;=50,O37&lt;65),"E",IF(AND(O37&gt;=65,O37&lt;80),"F","G")))))))</f>
        <v>?</v>
      </c>
      <c r="P24" s="64"/>
      <c r="Q24" s="65" t="str">
        <f>IF(OR(ISBLANK(Q17),ISBLANK(Q19),ISBLANK(Q20)),"?",IF(OR(ISBLANK(Q17),ISBLANK(Q19),ISBLANK(Q20)),"?",IF(Q37&lt;10,"A",IF(AND(Q37&gt;=10,Q37&lt;20),"B",IF(AND(Q37&gt;=20,Q37&lt;35),"C",IF(AND(Q37&gt;=35,Q37&lt;50),"D",IF(AND(Q37&gt;=50,Q37&lt;65),"E",IF(AND(Q37&gt;=65,Q37&lt;80),"F","G"))))))))</f>
        <v>?</v>
      </c>
      <c r="R24" s="64"/>
      <c r="S24" s="65" t="str">
        <f>IF(OR(ISBLANK(S17),ISBLANK(S19),ISBLANK(S20)),"?",IF(S37&lt;10,"A",IF(AND(S37&gt;=10,S37&lt;20),"B",IF(AND(S37&gt;=20,S37&lt;35),"C",IF(AND(S37&gt;=35,S37&lt;50),"D",IF(AND(S37&gt;=50,S37&lt;65),"E",IF(AND(S37&gt;=65,S37&lt;80),"F","G")))))))</f>
        <v>?</v>
      </c>
      <c r="T24" s="64"/>
      <c r="U24" s="65" t="str">
        <f>IF(OR(ISBLANK(U18),ISBLANK(U19),ISBLANK(U20)),"?",IF(U37&lt;10,"A",IF(AND(U37&gt;=10,U37&lt;20),"B",IF(AND(U37&gt;=20,U37&lt;35),"C",IF(AND(U37&gt;=35,U37&lt;50),"D",IF(AND(U37&gt;=50,U37&lt;65),"E",IF(AND(U37&gt;=65,U37&lt;80),"F","G")))))))</f>
        <v>?</v>
      </c>
    </row>
    <row r="25" spans="1:21" ht="29" customHeight="1" thickBot="1">
      <c r="C25" s="3" t="str">
        <f>HLOOKUP($B$2,Languages!$A$1:$M$52,17,FALSE)</f>
        <v>Topten.eu</v>
      </c>
      <c r="E25" s="52" t="str">
        <f>IF(OR(ISBLANK(E18),ISBLANK(E19),ISBLANK(E20),ISBLANK(E21)),"?",IF(E37&gt;=E38,HLOOKUP($B$2,Languages!$A$1:$M$62,45,FALSE),HLOOKUP($B$2,Languages!$A$1:$M$62,4,FALSE)))</f>
        <v>?</v>
      </c>
      <c r="F25" s="53"/>
      <c r="G25" s="52" t="str">
        <f>IF(OR(ISBLANK(G18),ISBLANK(G19),ISBLANK(G20),ISBLANK(G21),ISBLANK(G22)),"?",IF(G37&gt;=G38,HLOOKUP($B$2,Languages!$A$1:$M$62,45,FALSE),HLOOKUP($B$2,Languages!$A$1:$M$62,44,FALSE)))</f>
        <v>?</v>
      </c>
      <c r="H25" s="53"/>
      <c r="I25" s="52" t="str">
        <f>IF(OR(ISBLANK(I17),ISBLANK(I19),ISBLANK(I20)),"?",IF(I37&gt;=I38,HLOOKUP($B$2,Languages!$A$1:$M$62,45,FALSE),HLOOKUP($B$2,Languages!$A$1:$M$62,44,FALSE)))</f>
        <v>?</v>
      </c>
      <c r="J25" s="53"/>
      <c r="K25" s="52" t="str">
        <f>IF(OR(ISBLANK(K17),ISBLANK(K19),ISBLANK(K20)),"?",IF(K37&gt;=K38,HLOOKUP($B$2,Languages!$A$1:$M$62,45,FALSE),HLOOKUP($B$2,Languages!$A$1:$M$62,44,FALSE)))</f>
        <v>?</v>
      </c>
      <c r="L25" s="53"/>
      <c r="M25" s="52" t="str">
        <f>IF(OR(ISBLANK(M17),ISBLANK(M19),ISBLANK(M20)),"?",IF(M37&gt;=M38,HLOOKUP($B$2,Languages!$A$1:$M$62,45,FALSE),HLOOKUP($B$2,Languages!$A$1:$M$62,44,FALSE)))</f>
        <v>?</v>
      </c>
      <c r="N25" s="53"/>
      <c r="O25" s="52" t="str">
        <f>IF(OR(ISBLANK(O17),ISBLANK(O19),ISBLANK(O20)),"?",IF(OR(AND(O37&gt;=O38,O17&lt;2),AND(O37&gt;=O39,O17&gt;=2)),HLOOKUP($B$2,Languages!$A$1:$M$62,45,FALSE),HLOOKUP($B$2,Languages!$A$1:$M$62,44,FALSE)))</f>
        <v>?</v>
      </c>
      <c r="P25" s="53"/>
      <c r="Q25" s="52" t="str">
        <f>IF(OR(ISBLANK(Q17),ISBLANK(Q19),ISBLANK(Q20)),"?",IF(Q37&gt;=Q38,HLOOKUP($B$2,Languages!$A$1:$M$62,45,FALSE),HLOOKUP($B$2,Languages!$A$1:$M$62,44,FALSE)))</f>
        <v>?</v>
      </c>
      <c r="R25" s="53"/>
      <c r="S25" s="52" t="str">
        <f>IF(OR(ISBLANK(S17),ISBLANK(S19),ISBLANK(S20)),"?",IF(S37&gt;=S38,HLOOKUP($B$2,Languages!$A$1:$M$62,45,FALSE),HLOOKUP($B$2,Languages!$A$1:$M$62,44,FALSE)))</f>
        <v>?</v>
      </c>
      <c r="U25" s="52" t="str">
        <f>IF(OR(ISBLANK(U18),ISBLANK(U19),ISBLANK(U20)),"?",IF(U37&gt;=U38,HLOOKUP($B$2,Languages!$A$1:$M$62,45,FALSE),HLOOKUP($B$2,Languages!$A$1:$M$62,44,FALSE)))</f>
        <v>?</v>
      </c>
    </row>
    <row r="26" spans="1:21" ht="29" customHeight="1" thickBot="1">
      <c r="C26" s="3" t="str">
        <f>HLOOKUP($B$2,Languages!$A$1:$M$52,18,FALSE)</f>
        <v>Rebates in Switzerland</v>
      </c>
      <c r="E26" s="52" t="str">
        <f>IF(OR(ISBLANK(E18),ISBLANK(E19),ISBLANK(E20),ISBLANK(E21)),"?",IF(E37&gt;=E38,HLOOKUP($B$2,Languages!$A$1:$M$62,45,FALSE),HLOOKUP($B$2,Languages!$A$1:$M$62,44,FALSE)))</f>
        <v>?</v>
      </c>
      <c r="F26" s="53"/>
      <c r="G26" s="52" t="str">
        <f>IF(OR(ISBLANK(G18),ISBLANK(G19),ISBLANK(G20),ISBLANK(G21),ISBLANK(G22)),"?",IF(G37&gt;=G38,HLOOKUP($B$2,Languages!$A$1:$M$62,45,FALSE),HLOOKUP($B$2,Languages!$A$1:$M$62,44,FALSE)))</f>
        <v>?</v>
      </c>
      <c r="H26" s="53"/>
      <c r="I26" s="52" t="str">
        <f>IF(OR(ISBLANK(I17),ISBLANK(I19),ISBLANK(I20)),"?",IF(I37&gt;=I38,HLOOKUP($B$2,Languages!$A$1:$M$62,45,FALSE),HLOOKUP($B$2,Languages!$A$1:$M$62,44,FALSE)))</f>
        <v>?</v>
      </c>
      <c r="J26" s="53"/>
      <c r="K26" s="52" t="str">
        <f>IF(OR(ISBLANK(K17),ISBLANK(K19),ISBLANK(K20)),"?",IF(K37&gt;=K38,HLOOKUP($B$2,Languages!$A$1:$M$62,45,FALSE),HLOOKUP($B$2,Languages!$A$1:$M$62,44,FALSE)))</f>
        <v>?</v>
      </c>
      <c r="L26" s="53"/>
      <c r="M26" s="52" t="str">
        <f>IF(OR(ISBLANK(M17),ISBLANK(M19),ISBLANK(M20)),"?",IF(M37&gt;=M38,HLOOKUP($B$2,Languages!$A$1:$M$62,45,FALSE),HLOOKUP($B$2,Languages!$A$1:$M$62,44,FALSE)))</f>
        <v>?</v>
      </c>
      <c r="N26" s="53"/>
      <c r="O26" s="52" t="str">
        <f>IF(OR(ISBLANK(O17),ISBLANK(O19),ISBLANK(O20)),"?",IF(OR(AND(O37&gt;O38,O17&lt;2),AND(O37&gt;O39,O17&gt;=2)),HLOOKUP($B$2,Languages!$A$1:$M$62,45,FALSE),HLOOKUP($B$2,Languages!$A$1:$M$62,44,FALSE)))</f>
        <v>?</v>
      </c>
      <c r="P26" s="53"/>
      <c r="Q26" s="52" t="str">
        <f>IF(OR(ISBLANK(Q17),ISBLANK(Q19),ISBLANK(Q20)),"?",IF(Q37&gt;=Q38,HLOOKUP($B$2,Languages!$A$1:$M$62,45,FALSE),HLOOKUP($B$2,Languages!$A$1:$M$62,44,FALSE)))</f>
        <v>?</v>
      </c>
      <c r="R26" s="53"/>
      <c r="S26" s="52" t="str">
        <f>IF(OR(ISBLANK(S17),ISBLANK(S19),ISBLANK(S20)),"?",IF(S37&gt;=S38,HLOOKUP($B$2,Languages!$A$1:$M$62,45,FALSE),HLOOKUP($B$2,Languages!$A$1:$M$62,44,FALSE)))</f>
        <v>?</v>
      </c>
      <c r="U26" s="52" t="str">
        <f>IF(OR(ISBLANK(U18),ISBLANK(U19),ISBLANK(U20)),"?",IF(U37&gt;=U38,HLOOKUP($B$2,Languages!$A$1:$M$62,45,FALSE),HLOOKUP($B$2,Languages!$A$1:$M$62,44,FALSE)))</f>
        <v>?</v>
      </c>
    </row>
    <row r="28" spans="1:21" s="22" customFormat="1" ht="13">
      <c r="C28" s="24" t="str">
        <f>HLOOKUP($B$2,Languages!$A$1:$M$52,50,FALSE)</f>
        <v>Value for M</v>
      </c>
      <c r="D28" s="25"/>
      <c r="E28" s="23">
        <v>2.1</v>
      </c>
      <c r="F28" s="25"/>
      <c r="G28" s="23">
        <v>2</v>
      </c>
      <c r="H28" s="25"/>
      <c r="I28" s="23">
        <v>9.1</v>
      </c>
      <c r="J28" s="25"/>
      <c r="K28" s="23">
        <v>9.1</v>
      </c>
      <c r="L28" s="25"/>
      <c r="M28" s="23">
        <v>3.7</v>
      </c>
      <c r="N28" s="25"/>
      <c r="O28" s="23">
        <v>7.5</v>
      </c>
      <c r="P28" s="25"/>
      <c r="Q28" s="23">
        <v>7.5</v>
      </c>
      <c r="R28" s="25"/>
      <c r="S28" s="23">
        <v>4</v>
      </c>
      <c r="T28" s="25"/>
      <c r="U28" s="23">
        <v>4.0999999999999996</v>
      </c>
    </row>
    <row r="29" spans="1:21" s="22" customFormat="1" ht="13">
      <c r="C29" s="24" t="str">
        <f>HLOOKUP($B$2,Languages!$A$1:$M$52,51,FALSE)</f>
        <v>Value for N</v>
      </c>
      <c r="D29" s="25"/>
      <c r="E29" s="23">
        <v>6.0000000000000001E-3</v>
      </c>
      <c r="F29" s="25"/>
      <c r="G29" s="23">
        <v>8.9999999999999993E-3</v>
      </c>
      <c r="H29" s="25"/>
      <c r="I29" s="23">
        <v>9.1</v>
      </c>
      <c r="J29" s="25"/>
      <c r="K29" s="23">
        <v>9.1</v>
      </c>
      <c r="L29" s="25"/>
      <c r="M29" s="23">
        <v>3.5</v>
      </c>
      <c r="N29" s="25"/>
      <c r="O29" s="23">
        <v>19.3</v>
      </c>
      <c r="P29" s="25"/>
      <c r="Q29" s="23">
        <v>19.3</v>
      </c>
      <c r="R29" s="25"/>
      <c r="S29" s="23">
        <v>10.3</v>
      </c>
      <c r="T29" s="25"/>
      <c r="U29" s="23">
        <v>4.0000000000000001E-3</v>
      </c>
    </row>
    <row r="30" spans="1:21" s="22" customFormat="1" ht="13">
      <c r="C30" s="24" t="str">
        <f>HLOOKUP($B$2,Languages!$A$1:$M$52,52,FALSE)</f>
        <v>Value for Y</v>
      </c>
      <c r="D30" s="25"/>
      <c r="E30" s="23">
        <f>E18*((25-E32)/20)*E33</f>
        <v>0</v>
      </c>
      <c r="F30" s="25"/>
      <c r="G30" s="23">
        <f>G18*((12-G32)/30)*G33</f>
        <v>0</v>
      </c>
      <c r="H30" s="25"/>
      <c r="I30" s="23">
        <f>I17</f>
        <v>0</v>
      </c>
      <c r="J30" s="25"/>
      <c r="K30" s="23">
        <f>K17</f>
        <v>0</v>
      </c>
      <c r="L30" s="25"/>
      <c r="M30" s="23">
        <f>M17</f>
        <v>0</v>
      </c>
      <c r="N30" s="25"/>
      <c r="O30" s="23">
        <f>O17</f>
        <v>0</v>
      </c>
      <c r="P30" s="25"/>
      <c r="Q30" s="23">
        <f>Q17</f>
        <v>0</v>
      </c>
      <c r="R30" s="25"/>
      <c r="S30" s="23">
        <f>S17</f>
        <v>0</v>
      </c>
      <c r="T30" s="25"/>
      <c r="U30" s="23">
        <f>U18</f>
        <v>0</v>
      </c>
    </row>
    <row r="31" spans="1:21" s="22" customFormat="1" ht="13">
      <c r="C31" s="24" t="str">
        <f>HLOOKUP($B$2,Languages!$A$1:$M$100,71,FALSE)</f>
        <v>Value for P</v>
      </c>
      <c r="D31" s="25"/>
      <c r="E31" s="23"/>
      <c r="F31" s="25"/>
      <c r="G31" s="23"/>
      <c r="H31" s="25"/>
      <c r="I31" s="23"/>
      <c r="J31" s="25"/>
      <c r="K31" s="23"/>
      <c r="L31" s="25"/>
      <c r="M31" s="23"/>
      <c r="N31" s="25"/>
      <c r="O31" s="23"/>
      <c r="P31" s="25"/>
      <c r="Q31" s="23"/>
      <c r="R31" s="25"/>
      <c r="S31" s="23"/>
      <c r="T31" s="25"/>
      <c r="U31" s="23"/>
    </row>
    <row r="32" spans="1:21" s="22" customFormat="1" ht="13">
      <c r="C32" s="24" t="str">
        <f>HLOOKUP($B$2,Languages!$A$1:$M$62,53,FALSE)</f>
        <v>Value for Tc (for beverage coolers &amp; ice-cream freezers), Tv (vending machines)</v>
      </c>
      <c r="D32" s="25"/>
      <c r="E32" s="23">
        <f>IF(E20="K1",3.5,IF(E20="K2",2.5,IF(E20="K3",-1,5)))</f>
        <v>5</v>
      </c>
      <c r="F32" s="25"/>
      <c r="G32" s="23">
        <f>IF(G20="Max. -7°C",-7,-18)</f>
        <v>-18</v>
      </c>
      <c r="H32" s="25"/>
      <c r="I32" s="56" t="s">
        <v>139</v>
      </c>
      <c r="J32" s="25"/>
      <c r="K32" s="56" t="s">
        <v>139</v>
      </c>
      <c r="L32" s="25"/>
      <c r="M32" s="56" t="s">
        <v>139</v>
      </c>
      <c r="N32" s="25"/>
      <c r="O32" s="56" t="s">
        <v>139</v>
      </c>
      <c r="P32" s="25"/>
      <c r="Q32" s="56" t="s">
        <v>139</v>
      </c>
      <c r="R32" s="25"/>
      <c r="S32" s="56" t="s">
        <v>139</v>
      </c>
      <c r="T32" s="25"/>
      <c r="U32" s="23">
        <f>IF(U20="Category 1",7,IF(U20="Category 3",3,(IF(U20="Category 4","(Tv1+Tv2)/2 (*)",IF(U20="Category 5","(Tv1+Tv2)/2 (*)",12)))))</f>
        <v>12</v>
      </c>
    </row>
    <row r="33" spans="2:21" s="22" customFormat="1" ht="13">
      <c r="C33" s="24" t="str">
        <f>HLOOKUP($B$2,Languages!$A$1:$M$62,54,FALSE)</f>
        <v>Value for CC (for beverage coolers &amp; ice-cream freezers)</v>
      </c>
      <c r="D33" s="25"/>
      <c r="E33" s="23">
        <f>IF(E21="CC2 (32°C, 65% RH)",1.05,IF(E21="CC3 (40°C, 75% RH)",1.1,1))</f>
        <v>1</v>
      </c>
      <c r="F33" s="25"/>
      <c r="G33" s="23">
        <f>IF(AND(G21="B (max. 35°C, 75% RH)",G22="Transparent"),1.1,IF(AND(G21="C (max. 40°C, 40% RH)",G22="Transparent"),1.2,IF(AND(G21="B (max. 35°C, 75% RH)",G22="Non-Transparent"),1.04,IF(AND(G21="C (max. 40°C, 40% RH)",G22="Non-Transparent"),1.1,1))))</f>
        <v>1</v>
      </c>
      <c r="H33" s="25"/>
      <c r="I33" s="56" t="s">
        <v>139</v>
      </c>
      <c r="J33" s="25"/>
      <c r="K33" s="56" t="s">
        <v>139</v>
      </c>
      <c r="L33" s="25"/>
      <c r="M33" s="56" t="s">
        <v>139</v>
      </c>
      <c r="N33" s="25"/>
      <c r="O33" s="56" t="s">
        <v>139</v>
      </c>
      <c r="P33" s="25"/>
      <c r="Q33" s="56" t="s">
        <v>139</v>
      </c>
      <c r="R33" s="25"/>
      <c r="S33" s="56" t="s">
        <v>139</v>
      </c>
      <c r="T33" s="25"/>
      <c r="U33" s="56" t="s">
        <v>139</v>
      </c>
    </row>
    <row r="34" spans="2:21" s="22" customFormat="1" ht="13">
      <c r="C34" s="24" t="str">
        <f>HLOOKUP($B$2,Languages!$A$1:$M$62,55,FALSE)</f>
        <v>Value for C</v>
      </c>
      <c r="D34" s="25"/>
      <c r="E34" s="23">
        <v>1</v>
      </c>
      <c r="F34" s="25"/>
      <c r="G34" s="23">
        <v>1</v>
      </c>
      <c r="H34" s="25"/>
      <c r="I34" s="23">
        <f>IF(I20="M1",1.15,IF(I20="H1 &amp; H2",0.82,IF(I20="M0",1.3,1)))</f>
        <v>1</v>
      </c>
      <c r="J34" s="25"/>
      <c r="K34" s="23">
        <f>IF(K20="M1",1.15,IF(K20="H1 &amp; H2",0.82,IF(K20="M0",1.3,1)))</f>
        <v>1</v>
      </c>
      <c r="L34" s="25"/>
      <c r="M34" s="23">
        <f>IF(M20="M1",1.08,IF(M20="H1 &amp; H2",0.92,IF(M20="M0",1.13,1)))</f>
        <v>1</v>
      </c>
      <c r="N34" s="25"/>
      <c r="O34" s="23">
        <f>IF(O20="L2",0.9,IF(O20="L3",0.9,1))</f>
        <v>1</v>
      </c>
      <c r="P34" s="25"/>
      <c r="Q34" s="23">
        <f>IF(Q20="L2",0.9,IF(Q20="L3",0.9,1))</f>
        <v>1</v>
      </c>
      <c r="R34" s="25"/>
      <c r="S34" s="23">
        <f>IF(S20="L2",0.92,IF(S20="L3",0.92,1))</f>
        <v>1</v>
      </c>
      <c r="T34" s="25"/>
      <c r="U34" s="23">
        <f>1+(12-U32)/25</f>
        <v>1</v>
      </c>
    </row>
    <row r="35" spans="2:21" s="22" customFormat="1" ht="13">
      <c r="C35" s="24" t="str">
        <f>HLOOKUP($B$2,Languages!$A$1:$M$62,56,FALSE)</f>
        <v>Annual Energy Consumption (AE)</v>
      </c>
      <c r="D35" s="25"/>
      <c r="E35" s="23">
        <f>E19*365</f>
        <v>0</v>
      </c>
      <c r="F35" s="25"/>
      <c r="G35" s="23">
        <f>G19*365</f>
        <v>0</v>
      </c>
      <c r="H35" s="25"/>
      <c r="I35" s="23">
        <f>I19*365</f>
        <v>0</v>
      </c>
      <c r="J35" s="25"/>
      <c r="K35" s="23">
        <f>K19*365</f>
        <v>0</v>
      </c>
      <c r="L35" s="25"/>
      <c r="M35" s="23">
        <f>M19*365</f>
        <v>0</v>
      </c>
      <c r="N35" s="25"/>
      <c r="O35" s="23">
        <f>O19*365</f>
        <v>0</v>
      </c>
      <c r="P35" s="25"/>
      <c r="Q35" s="23">
        <f>Q19*365</f>
        <v>0</v>
      </c>
      <c r="R35" s="25"/>
      <c r="S35" s="23">
        <f>S19*365</f>
        <v>0</v>
      </c>
      <c r="T35" s="25"/>
      <c r="U35" s="23">
        <f>U19*365</f>
        <v>0</v>
      </c>
    </row>
    <row r="36" spans="2:21" s="22" customFormat="1" ht="13">
      <c r="C36" s="24" t="str">
        <f>HLOOKUP($B$2,Languages!$A$1:$M$62,57,FALSE)</f>
        <v>Standard Annual Energy Consumption (SAE)   ((M+N*Y)*365*P*C)</v>
      </c>
      <c r="D36" s="25"/>
      <c r="E36" s="23">
        <f>(E28+E30*E29)*365*1*E34</f>
        <v>766.5</v>
      </c>
      <c r="F36" s="25"/>
      <c r="G36" s="23">
        <f>(G28+G30*G29)*365*1*G34</f>
        <v>730</v>
      </c>
      <c r="H36" s="25"/>
      <c r="I36" s="23" t="e">
        <f>(I28+I17*I29)*365*INDEX(StoredValues!$B:$B,MATCH('TOPTEN CHECK'!I16,StoredValues!$A:$A,0))*I34</f>
        <v>#N/A</v>
      </c>
      <c r="J36" s="25"/>
      <c r="K36" s="23" t="e">
        <f>(K28+K17*K29)*365*INDEX(StoredValues!$B:$B,MATCH('TOPTEN CHECK'!K16,StoredValues!$A:$A,0))*K34</f>
        <v>#N/A</v>
      </c>
      <c r="L36" s="25"/>
      <c r="M36" s="23" t="e">
        <f>(M28+M17*M29)*365*INDEX(StoredValues!$B:$B,MATCH('TOPTEN CHECK'!M16,StoredValues!$A:$A,0))*M34</f>
        <v>#N/A</v>
      </c>
      <c r="N36" s="25"/>
      <c r="O36" s="23" t="e">
        <f>(O28+O17*O29)*365*INDEX(StoredValues!$B:$B,MATCH('TOPTEN CHECK'!O16,StoredValues!$A:$A,0))*O34</f>
        <v>#N/A</v>
      </c>
      <c r="P36" s="25"/>
      <c r="Q36" s="23" t="e">
        <f>(Q28+Q17*Q29)*365*INDEX(StoredValues!$B:$B,MATCH('TOPTEN CHECK'!Q16,StoredValues!$A:$A,0))*Q34</f>
        <v>#N/A</v>
      </c>
      <c r="R36" s="25"/>
      <c r="S36" s="23" t="e">
        <f>(S28+S17*S29)*365*INDEX(StoredValues!$B:$B,MATCH('TOPTEN CHECK'!S16,StoredValues!$A:$A,0))*S34</f>
        <v>#N/A</v>
      </c>
      <c r="T36" s="25"/>
      <c r="U36" s="23">
        <f>(U28+U18*U29)*365*1*U34</f>
        <v>1496.4999999999998</v>
      </c>
    </row>
    <row r="37" spans="2:21" s="22" customFormat="1" ht="13">
      <c r="C37" s="54" t="str">
        <f>HLOOKUP($B$2,Languages!$A$1:$M$62,58,FALSE)</f>
        <v>Energy Efficiency Index (EEI = AE/SAE*100)</v>
      </c>
      <c r="D37" s="25"/>
      <c r="E37" s="61">
        <f>ROUND((E35/E36)*100,1)</f>
        <v>0</v>
      </c>
      <c r="F37" s="55"/>
      <c r="G37" s="61">
        <f>ROUND((G35/G36)*100,1)</f>
        <v>0</v>
      </c>
      <c r="H37" s="25"/>
      <c r="I37" s="61" t="e">
        <f>ROUND((I35/I36)*100,1)</f>
        <v>#N/A</v>
      </c>
      <c r="J37" s="55"/>
      <c r="K37" s="61" t="e">
        <f>ROUND((K35/K36)*100,1)</f>
        <v>#N/A</v>
      </c>
      <c r="L37" s="55"/>
      <c r="M37" s="61" t="e">
        <f>ROUND((M35/M36)*100,1)</f>
        <v>#N/A</v>
      </c>
      <c r="N37" s="25"/>
      <c r="O37" s="61" t="e">
        <f>ROUND((O35/O36)*100,1)</f>
        <v>#N/A</v>
      </c>
      <c r="P37" s="55"/>
      <c r="Q37" s="61" t="e">
        <f>ROUND((Q35/Q36)*100,1)</f>
        <v>#N/A</v>
      </c>
      <c r="R37" s="55"/>
      <c r="S37" s="61" t="e">
        <f>ROUND((S35/S36)*100,1)</f>
        <v>#N/A</v>
      </c>
      <c r="T37" s="25"/>
      <c r="U37" s="61">
        <f>ROUND((U35/U36)*100,1)</f>
        <v>0</v>
      </c>
    </row>
    <row r="38" spans="2:21" s="22" customFormat="1" ht="13">
      <c r="C38" s="24" t="str">
        <f>HLOOKUP($B$2,Languages!$A$1:$M$62,59,FALSE)</f>
        <v>Max. EEI for Topten.eu and for Rebates in Switzerland and Austria</v>
      </c>
      <c r="D38" s="25"/>
      <c r="E38" s="23">
        <v>35</v>
      </c>
      <c r="F38" s="25"/>
      <c r="G38" s="23">
        <v>35</v>
      </c>
      <c r="H38" s="25"/>
      <c r="I38" s="23">
        <v>35</v>
      </c>
      <c r="J38" s="25"/>
      <c r="K38" s="23">
        <v>20</v>
      </c>
      <c r="L38" s="25"/>
      <c r="M38" s="23">
        <v>50</v>
      </c>
      <c r="N38" s="25"/>
      <c r="O38" s="23" t="str">
        <f>+IF(O16="Plug-in",30,IF(O16="Remote",35,""))</f>
        <v/>
      </c>
      <c r="P38" s="41" t="s">
        <v>76</v>
      </c>
      <c r="Q38" s="23">
        <v>10</v>
      </c>
      <c r="R38" s="25"/>
      <c r="S38" s="23">
        <v>35</v>
      </c>
      <c r="T38" s="25"/>
      <c r="U38" s="23">
        <v>75</v>
      </c>
    </row>
    <row r="39" spans="2:21" s="22" customFormat="1" ht="13">
      <c r="C39" s="27"/>
      <c r="D39" s="25"/>
      <c r="F39" s="25"/>
      <c r="H39" s="25"/>
      <c r="J39" s="25"/>
      <c r="L39" s="25"/>
      <c r="N39" s="25"/>
      <c r="O39" s="23">
        <v>60</v>
      </c>
      <c r="P39" s="41" t="s">
        <v>77</v>
      </c>
      <c r="Q39" s="25"/>
      <c r="R39" s="25"/>
      <c r="S39" s="25"/>
      <c r="T39" s="25"/>
      <c r="U39" s="25"/>
    </row>
    <row r="40" spans="2:21" s="22" customFormat="1" ht="13">
      <c r="C40" s="24" t="str">
        <f>HLOOKUP($B$2,Languages!$A$1:$M$81,66,FALSE)</f>
        <v>Swiss Minimum Requirements 01.03.2021</v>
      </c>
      <c r="D40" s="25"/>
      <c r="E40" s="66">
        <v>80</v>
      </c>
      <c r="F40" s="25"/>
      <c r="G40" s="66">
        <v>80</v>
      </c>
      <c r="H40" s="25"/>
      <c r="I40" s="66">
        <v>80</v>
      </c>
      <c r="J40" s="25"/>
      <c r="K40" s="66">
        <v>100</v>
      </c>
      <c r="L40" s="25"/>
      <c r="M40" s="66">
        <v>100</v>
      </c>
      <c r="N40" s="25"/>
      <c r="O40" s="66">
        <v>80</v>
      </c>
      <c r="P40" s="41"/>
      <c r="Q40" s="66">
        <v>80</v>
      </c>
      <c r="R40" s="25"/>
      <c r="S40" s="66">
        <v>100</v>
      </c>
      <c r="T40" s="25"/>
      <c r="U40" s="66">
        <v>100</v>
      </c>
    </row>
    <row r="41" spans="2:21" s="22" customFormat="1" ht="13">
      <c r="C41" s="24" t="str">
        <f>HLOOKUP($B$2,Languages!$A$1:$M$81,67,FALSE)</f>
        <v>Swiss Minimum Requirements 01.09.2023</v>
      </c>
      <c r="D41" s="25"/>
      <c r="E41" s="66">
        <v>50</v>
      </c>
      <c r="F41" s="25"/>
      <c r="G41" s="66">
        <v>50</v>
      </c>
      <c r="H41" s="25"/>
      <c r="I41" s="66">
        <v>65</v>
      </c>
      <c r="J41" s="25"/>
      <c r="K41" s="66">
        <v>65</v>
      </c>
      <c r="L41" s="25"/>
      <c r="M41" s="66">
        <v>80</v>
      </c>
      <c r="N41" s="25"/>
      <c r="O41" s="66">
        <v>65</v>
      </c>
      <c r="P41" s="41"/>
      <c r="Q41" s="66">
        <v>65</v>
      </c>
      <c r="R41" s="25"/>
      <c r="S41" s="66">
        <v>80</v>
      </c>
      <c r="T41" s="25"/>
      <c r="U41" s="66">
        <v>80</v>
      </c>
    </row>
    <row r="42" spans="2:21" s="22" customFormat="1" ht="13">
      <c r="C42" s="24" t="str">
        <f>HLOOKUP($B$2,Languages!$A$1:$M$81,68,FALSE)</f>
        <v>Allowed in CH after 01.03.2021</v>
      </c>
      <c r="D42" s="25"/>
      <c r="E42" s="67" t="str">
        <f>IF(OR(ISBLANK(E18),ISBLANK(E19),ISBLANK(E20),ISBLANK(E21)),"?",IF(E37&gt;=E40,HLOOKUP($B$2,Languages!$A$1:$M$63,44,FALSE),HLOOKUP($B$2,Languages!$A$1:$M$63,43,FALSE)))</f>
        <v>?</v>
      </c>
      <c r="F42" s="25"/>
      <c r="G42" s="67" t="str">
        <f>IF(OR(ISBLANK(G18),ISBLANK(G19),ISBLANK(G20),ISBLANK(G21),ISBLANK(G22)),"?",IF(G37&gt;=G40,HLOOKUP($B$2,Languages!$A$1:$M$63,44,FALSE),HLOOKUP($B$2,Languages!$A$1:$M$63,43,FALSE)))</f>
        <v>?</v>
      </c>
      <c r="H42" s="25"/>
      <c r="I42" s="67" t="str">
        <f>IF(OR(ISBLANK(I17),ISBLANK(I19),ISBLANK(I20)),"?",IF(I37&gt;=I40,HLOOKUP($B$2,Languages!$A$1:$M$63,44,FALSE),HLOOKUP($B$2,Languages!$A$1:$M$63,43,FALSE)))</f>
        <v>?</v>
      </c>
      <c r="J42" s="25"/>
      <c r="K42" s="67" t="str">
        <f>IF(OR(ISBLANK(K17),ISBLANK(K19),ISBLANK(K20)),"?",IF(K37&gt;=K40,HLOOKUP($B$2,Languages!$A$1:$M$63,44,FALSE),HLOOKUP($B$2,Languages!$A$1:$M$63,43,FALSE)))</f>
        <v>?</v>
      </c>
      <c r="L42" s="25"/>
      <c r="M42" s="67" t="str">
        <f>IF(OR(ISBLANK(M17),ISBLANK(M19),ISBLANK(M20)),"?",IF(M37&gt;=M40,HLOOKUP($B$2,Languages!$A$1:$M$63,44,FALSE),HLOOKUP($B$2,Languages!$A$1:$M$63,43,FALSE)))</f>
        <v>?</v>
      </c>
      <c r="N42" s="25"/>
      <c r="O42" s="67" t="str">
        <f>IF(OR(ISBLANK(O17),ISBLANK(O19),ISBLANK(O20)),"?",IF(O37&gt;=O40,HLOOKUP($B$2,Languages!$A$1:$M$63,44,FALSE),HLOOKUP($B$2,Languages!$A$1:$M$63,43,FALSE)))</f>
        <v>?</v>
      </c>
      <c r="P42" s="41"/>
      <c r="Q42" s="67" t="str">
        <f>IF(OR(ISBLANK(Q17),ISBLANK(Q19),ISBLANK(Q20)),"?",IF(Q37&gt;=Q40,HLOOKUP($B$2,Languages!$A$1:$M$63,44,FALSE),HLOOKUP($B$2,Languages!$A$1:$M$63,43,FALSE)))</f>
        <v>?</v>
      </c>
      <c r="R42" s="25"/>
      <c r="S42" s="67" t="str">
        <f>IF(OR(ISBLANK(S17),ISBLANK(S19),ISBLANK(S20)),"?",IF(S37&gt;=S40,HLOOKUP($B$2,Languages!$A$1:$M$63,44,FALSE),HLOOKUP($B$2,Languages!$A$1:$M$63,43,FALSE)))</f>
        <v>?</v>
      </c>
      <c r="T42" s="25"/>
      <c r="U42" s="67" t="str">
        <f>IF(OR(ISBLANK(U18),ISBLANK(U19),ISBLANK(U20)),"?",IF(U37&gt;=U40,HLOOKUP($B$2,Languages!$A$1:$M$63,44,FALSE),HLOOKUP($B$2,Languages!$A$1:$M$63,43,FALSE)))</f>
        <v>?</v>
      </c>
    </row>
    <row r="43" spans="2:21" s="22" customFormat="1" ht="13">
      <c r="C43" s="24" t="str">
        <f>HLOOKUP($B$2,Languages!$A$1:$M$81,69,FALSE)</f>
        <v>Allowed in CH after 01.09.2023</v>
      </c>
      <c r="E43" s="67" t="str">
        <f>IF(OR(ISBLANK(E18),ISBLANK(E19),ISBLANK(E20),ISBLANK(E21)),"?",IF(E37&gt;=E41,HLOOKUP($B$2,Languages!$A$1:$M$63,44,FALSE),HLOOKUP($B$2,Languages!$A$1:$M$63,43,FALSE)))</f>
        <v>?</v>
      </c>
      <c r="G43" s="67" t="str">
        <f>IF(OR(ISBLANK(G18),ISBLANK(G19),ISBLANK(G20),ISBLANK(G21),ISBLANK(G22)),"?",IF(G37&gt;=G41,HLOOKUP($B$2,Languages!$A$1:$M$63,44,FALSE),HLOOKUP($B$2,Languages!$A$1:$M$63,43,FALSE)))</f>
        <v>?</v>
      </c>
      <c r="I43" s="67" t="str">
        <f>IF(OR(ISBLANK(I17),ISBLANK(I19),ISBLANK(I20)),"?",IF(I37&gt;=I41,HLOOKUP($B$2,Languages!$A$1:$M$63,44,FALSE),HLOOKUP($B$2,Languages!$A$1:$M$63,43,FALSE)))</f>
        <v>?</v>
      </c>
      <c r="K43" s="67" t="str">
        <f>IF(OR(ISBLANK(K17),ISBLANK(K19),ISBLANK(K20)),"?",IF(K37&gt;=K41,HLOOKUP($B$2,Languages!$A$1:$M$63,44,FALSE),HLOOKUP($B$2,Languages!$A$1:$M$63,43,FALSE)))</f>
        <v>?</v>
      </c>
      <c r="M43" s="67" t="str">
        <f>IF(OR(ISBLANK(M17),ISBLANK(M19),ISBLANK(M20)),"?",IF(M37&gt;=M41,HLOOKUP($B$2,Languages!$A$1:$M$63,44,FALSE),HLOOKUP($B$2,Languages!$A$1:$M$63,43,FALSE)))</f>
        <v>?</v>
      </c>
      <c r="O43" s="67" t="str">
        <f>IF(OR(ISBLANK(O17),ISBLANK(O19),ISBLANK(O20)),"?",IF(O37&gt;=O41,HLOOKUP($B$2,Languages!$A$1:$M$63,44,FALSE),HLOOKUP($B$2,Languages!$A$1:$M$63,43,FALSE)))</f>
        <v>?</v>
      </c>
      <c r="Q43" s="67" t="str">
        <f>IF(OR(ISBLANK(Q17),ISBLANK(Q19),ISBLANK(Q20)),"?",IF(Q37&gt;=Q41,HLOOKUP($B$2,Languages!$A$1:$M$63,44,FALSE),HLOOKUP($B$2,Languages!$A$1:$M$63,43,FALSE)))</f>
        <v>?</v>
      </c>
      <c r="S43" s="67" t="str">
        <f>IF(OR(ISBLANK(S17),ISBLANK(S19),ISBLANK(S20)),"?",IF(S37&gt;=S41,HLOOKUP($B$2,Languages!$A$1:$M$63,44,FALSE),HLOOKUP($B$2,Languages!$A$1:$M$63,43,FALSE)))</f>
        <v>?</v>
      </c>
      <c r="U43" s="67" t="str">
        <f>IF(OR(ISBLANK(U18),ISBLANK(U19),ISBLANK(U20)),"?",IF(U37&gt;=U41,HLOOKUP($B$2,Languages!$A$1:$M$63,44,FALSE),HLOOKUP($B$2,Languages!$A$1:$M$63,43,FALSE)))</f>
        <v>?</v>
      </c>
    </row>
    <row r="44" spans="2:21" s="22" customFormat="1" ht="13">
      <c r="C44" s="27"/>
      <c r="D44" s="27"/>
      <c r="I44" s="26"/>
      <c r="O44" s="42" t="str">
        <f>HLOOKUP($B$2,Languages!$A$1:$M$52,47,FALSE)</f>
        <v>* for medium cabinets (TDA &lt; 2 m2)</v>
      </c>
      <c r="Q44" s="26"/>
      <c r="U44" s="42" t="str">
        <f>HLOOKUP($B$2,Languages!$A$1:$M$52,49,FALSE)</f>
        <v>(*) For multi-temperature vending machines, Tv shall be the average of Tv1 (max. measured product temp. in warmest compartment) and Tv2 (max. measured product temp. in coldest compartment)</v>
      </c>
    </row>
    <row r="45" spans="2:21" s="22" customFormat="1">
      <c r="B45" s="62" t="str">
        <f>HLOOKUP($B$2,Languages!$A$1:$M$66,5,FALSE)</f>
        <v>Note: Current versions of selection criteria for supermarket cabinets and this excel can be found under https://www.topten.eu/private/selection-criteria/refrigerated-display-cabinets</v>
      </c>
      <c r="C45" s="27"/>
      <c r="D45" s="27"/>
      <c r="O45" s="42" t="str">
        <f>HLOOKUP($B$2,Languages!$A$1:$M$52,48,FALSE)</f>
        <v>** for large cabinets (TDA &gt;= 2 m2)</v>
      </c>
    </row>
    <row r="46" spans="2:21" s="22" customFormat="1">
      <c r="B46" s="62" t="str">
        <f>HLOOKUP($B$2,Languages!$A$1:$M$66,62,FALSE)</f>
        <v>Current versions of selection criteria for beverage coolers can be found on www.topten.eu/private/selection-criteria/beverage-coolers</v>
      </c>
      <c r="C46" s="27"/>
      <c r="D46" s="27"/>
    </row>
    <row r="47" spans="2:21">
      <c r="B47" s="62" t="str">
        <f>HLOOKUP($B$2,Languages!$A$1:$M$66,63,FALSE)</f>
        <v>Current versions of selection criteria for ice-cream freezers can be found on www.topten.eu/private/selection-criteria/beverage-coolers</v>
      </c>
    </row>
    <row r="48" spans="2:21" ht="19" thickBot="1">
      <c r="B48" s="63" t="str">
        <f>HLOOKUP($B$2,Languages!$A$1:$M$66,64,FALSE)</f>
        <v>Current versions of selection criteria for refrigerated vending machines can be found on www.topten.eu/private/selection-criteria/refrigerated-vending-machines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3:4">
      <c r="C49" s="10"/>
      <c r="D49" s="10"/>
    </row>
  </sheetData>
  <sheetProtection sheet="1" insertColumns="0"/>
  <conditionalFormatting sqref="E25">
    <cfRule type="containsText" dxfId="59" priority="68" operator="containsText" text="Sì">
      <formula>NOT(ISERROR(SEARCH("Sì",E25)))</formula>
    </cfRule>
    <cfRule type="containsText" dxfId="58" priority="77" operator="containsText" text="oui">
      <formula>NOT(ISERROR(SEARCH("oui",E25)))</formula>
    </cfRule>
    <cfRule type="containsText" dxfId="57" priority="78" operator="containsText" text="Ja">
      <formula>NOT(ISERROR(SEARCH("Ja",E25)))</formula>
    </cfRule>
    <cfRule type="containsText" dxfId="56" priority="79" operator="containsText" text="Yes">
      <formula>NOT(ISERROR(SEARCH("Yes",E25)))</formula>
    </cfRule>
    <cfRule type="containsText" dxfId="55" priority="80" operator="containsText" text="N">
      <formula>NOT(ISERROR(SEARCH("N",E25)))</formula>
    </cfRule>
  </conditionalFormatting>
  <conditionalFormatting sqref="E26">
    <cfRule type="containsText" dxfId="54" priority="63" operator="containsText" text="Sì">
      <formula>NOT(ISERROR(SEARCH("Sì",E26)))</formula>
    </cfRule>
    <cfRule type="containsText" dxfId="53" priority="64" operator="containsText" text="oui">
      <formula>NOT(ISERROR(SEARCH("oui",E26)))</formula>
    </cfRule>
    <cfRule type="containsText" dxfId="52" priority="65" operator="containsText" text="Ja">
      <formula>NOT(ISERROR(SEARCH("Ja",E26)))</formula>
    </cfRule>
    <cfRule type="containsText" dxfId="51" priority="66" operator="containsText" text="Yes">
      <formula>NOT(ISERROR(SEARCH("Yes",E26)))</formula>
    </cfRule>
    <cfRule type="containsText" dxfId="50" priority="67" operator="containsText" text="N">
      <formula>NOT(ISERROR(SEARCH("N",E26)))</formula>
    </cfRule>
  </conditionalFormatting>
  <conditionalFormatting sqref="G25:G26">
    <cfRule type="containsText" dxfId="49" priority="58" operator="containsText" text="Sì">
      <formula>NOT(ISERROR(SEARCH("Sì",G25)))</formula>
    </cfRule>
    <cfRule type="containsText" dxfId="48" priority="59" operator="containsText" text="oui">
      <formula>NOT(ISERROR(SEARCH("oui",G25)))</formula>
    </cfRule>
    <cfRule type="containsText" dxfId="47" priority="60" operator="containsText" text="Ja">
      <formula>NOT(ISERROR(SEARCH("Ja",G25)))</formula>
    </cfRule>
    <cfRule type="containsText" dxfId="46" priority="61" operator="containsText" text="Yes">
      <formula>NOT(ISERROR(SEARCH("Yes",G25)))</formula>
    </cfRule>
    <cfRule type="containsText" dxfId="45" priority="62" operator="containsText" text="N">
      <formula>NOT(ISERROR(SEARCH("N",G25)))</formula>
    </cfRule>
  </conditionalFormatting>
  <conditionalFormatting sqref="I25:I26">
    <cfRule type="containsText" dxfId="44" priority="53" operator="containsText" text="Sì">
      <formula>NOT(ISERROR(SEARCH("Sì",I25)))</formula>
    </cfRule>
    <cfRule type="containsText" dxfId="43" priority="54" operator="containsText" text="oui">
      <formula>NOT(ISERROR(SEARCH("oui",I25)))</formula>
    </cfRule>
    <cfRule type="containsText" dxfId="42" priority="55" operator="containsText" text="Ja">
      <formula>NOT(ISERROR(SEARCH("Ja",I25)))</formula>
    </cfRule>
    <cfRule type="containsText" dxfId="41" priority="56" operator="containsText" text="Yes">
      <formula>NOT(ISERROR(SEARCH("Yes",I25)))</formula>
    </cfRule>
    <cfRule type="containsText" dxfId="40" priority="57" operator="containsText" text="N">
      <formula>NOT(ISERROR(SEARCH("N",I25)))</formula>
    </cfRule>
  </conditionalFormatting>
  <conditionalFormatting sqref="M25:M26">
    <cfRule type="containsText" dxfId="39" priority="48" operator="containsText" text="Sì">
      <formula>NOT(ISERROR(SEARCH("Sì",M25)))</formula>
    </cfRule>
    <cfRule type="containsText" dxfId="38" priority="49" operator="containsText" text="oui">
      <formula>NOT(ISERROR(SEARCH("oui",M25)))</formula>
    </cfRule>
    <cfRule type="containsText" dxfId="37" priority="50" operator="containsText" text="Ja">
      <formula>NOT(ISERROR(SEARCH("Ja",M25)))</formula>
    </cfRule>
    <cfRule type="containsText" dxfId="36" priority="51" operator="containsText" text="Yes">
      <formula>NOT(ISERROR(SEARCH("Yes",M25)))</formula>
    </cfRule>
    <cfRule type="containsText" dxfId="35" priority="52" operator="containsText" text="N">
      <formula>NOT(ISERROR(SEARCH("N",M25)))</formula>
    </cfRule>
  </conditionalFormatting>
  <conditionalFormatting sqref="O25:O26">
    <cfRule type="containsText" dxfId="34" priority="43" operator="containsText" text="Sì">
      <formula>NOT(ISERROR(SEARCH("Sì",O25)))</formula>
    </cfRule>
    <cfRule type="containsText" dxfId="33" priority="44" operator="containsText" text="oui">
      <formula>NOT(ISERROR(SEARCH("oui",O25)))</formula>
    </cfRule>
    <cfRule type="containsText" dxfId="32" priority="45" operator="containsText" text="Ja">
      <formula>NOT(ISERROR(SEARCH("Ja",O25)))</formula>
    </cfRule>
    <cfRule type="containsText" dxfId="31" priority="46" operator="containsText" text="Yes">
      <formula>NOT(ISERROR(SEARCH("Yes",O25)))</formula>
    </cfRule>
    <cfRule type="containsText" dxfId="30" priority="47" operator="containsText" text="N">
      <formula>NOT(ISERROR(SEARCH("N",O25)))</formula>
    </cfRule>
  </conditionalFormatting>
  <conditionalFormatting sqref="Q25:Q26">
    <cfRule type="containsText" dxfId="29" priority="38" operator="containsText" text="Sì">
      <formula>NOT(ISERROR(SEARCH("Sì",Q25)))</formula>
    </cfRule>
    <cfRule type="containsText" dxfId="28" priority="39" operator="containsText" text="oui">
      <formula>NOT(ISERROR(SEARCH("oui",Q25)))</formula>
    </cfRule>
    <cfRule type="containsText" dxfId="27" priority="40" operator="containsText" text="Ja">
      <formula>NOT(ISERROR(SEARCH("Ja",Q25)))</formula>
    </cfRule>
    <cfRule type="containsText" dxfId="26" priority="41" operator="containsText" text="Yes">
      <formula>NOT(ISERROR(SEARCH("Yes",Q25)))</formula>
    </cfRule>
    <cfRule type="containsText" dxfId="25" priority="42" operator="containsText" text="N">
      <formula>NOT(ISERROR(SEARCH("N",Q25)))</formula>
    </cfRule>
  </conditionalFormatting>
  <conditionalFormatting sqref="S25:S26">
    <cfRule type="containsText" dxfId="24" priority="33" operator="containsText" text="Sì">
      <formula>NOT(ISERROR(SEARCH("Sì",S25)))</formula>
    </cfRule>
    <cfRule type="containsText" dxfId="23" priority="34" operator="containsText" text="oui">
      <formula>NOT(ISERROR(SEARCH("oui",S25)))</formula>
    </cfRule>
    <cfRule type="containsText" dxfId="22" priority="35" operator="containsText" text="Ja">
      <formula>NOT(ISERROR(SEARCH("Ja",S25)))</formula>
    </cfRule>
    <cfRule type="containsText" dxfId="21" priority="36" operator="containsText" text="Yes">
      <formula>NOT(ISERROR(SEARCH("Yes",S25)))</formula>
    </cfRule>
    <cfRule type="containsText" dxfId="20" priority="37" operator="containsText" text="N">
      <formula>NOT(ISERROR(SEARCH("N",S25)))</formula>
    </cfRule>
  </conditionalFormatting>
  <conditionalFormatting sqref="U25:U26">
    <cfRule type="containsText" dxfId="19" priority="28" operator="containsText" text="Sì">
      <formula>NOT(ISERROR(SEARCH("Sì",U25)))</formula>
    </cfRule>
    <cfRule type="containsText" dxfId="18" priority="29" operator="containsText" text="oui">
      <formula>NOT(ISERROR(SEARCH("oui",U25)))</formula>
    </cfRule>
    <cfRule type="containsText" dxfId="17" priority="30" operator="containsText" text="Ja">
      <formula>NOT(ISERROR(SEARCH("Ja",U25)))</formula>
    </cfRule>
    <cfRule type="containsText" dxfId="16" priority="31" operator="containsText" text="Yes">
      <formula>NOT(ISERROR(SEARCH("Yes",U25)))</formula>
    </cfRule>
    <cfRule type="containsText" dxfId="15" priority="32" operator="containsText" text="N">
      <formula>NOT(ISERROR(SEARCH("N",U25)))</formula>
    </cfRule>
  </conditionalFormatting>
  <conditionalFormatting sqref="U32">
    <cfRule type="containsText" dxfId="14" priority="27" operator="containsText" text="(*)">
      <formula>NOT(ISERROR(SEARCH("(*)",U32)))</formula>
    </cfRule>
  </conditionalFormatting>
  <conditionalFormatting sqref="E42:E43">
    <cfRule type="containsText" dxfId="13" priority="26" operator="containsText" text="N">
      <formula>NOT(ISERROR(SEARCH("N",E42)))</formula>
    </cfRule>
  </conditionalFormatting>
  <conditionalFormatting sqref="G42:G43">
    <cfRule type="containsText" dxfId="12" priority="25" operator="containsText" text="N">
      <formula>NOT(ISERROR(SEARCH("N",G42)))</formula>
    </cfRule>
  </conditionalFormatting>
  <conditionalFormatting sqref="I42:I43">
    <cfRule type="containsText" dxfId="11" priority="24" operator="containsText" text="N">
      <formula>NOT(ISERROR(SEARCH("N",I42)))</formula>
    </cfRule>
  </conditionalFormatting>
  <conditionalFormatting sqref="U42:U43">
    <cfRule type="containsText" dxfId="10" priority="17" operator="containsText" text="N">
      <formula>NOT(ISERROR(SEARCH("N",U42)))</formula>
    </cfRule>
  </conditionalFormatting>
  <conditionalFormatting sqref="M42:M43">
    <cfRule type="containsText" dxfId="9" priority="16" operator="containsText" text="N">
      <formula>NOT(ISERROR(SEARCH("N",M42)))</formula>
    </cfRule>
  </conditionalFormatting>
  <conditionalFormatting sqref="O42:O43">
    <cfRule type="containsText" dxfId="8" priority="15" operator="containsText" text="N">
      <formula>NOT(ISERROR(SEARCH("N",O42)))</formula>
    </cfRule>
  </conditionalFormatting>
  <conditionalFormatting sqref="Q42:Q43">
    <cfRule type="containsText" dxfId="7" priority="14" operator="containsText" text="N">
      <formula>NOT(ISERROR(SEARCH("N",Q42)))</formula>
    </cfRule>
  </conditionalFormatting>
  <conditionalFormatting sqref="S42:S43">
    <cfRule type="containsText" dxfId="6" priority="13" operator="containsText" text="N">
      <formula>NOT(ISERROR(SEARCH("N",S42)))</formula>
    </cfRule>
  </conditionalFormatting>
  <conditionalFormatting sqref="K25:K26">
    <cfRule type="containsText" dxfId="5" priority="2" operator="containsText" text="Sì">
      <formula>NOT(ISERROR(SEARCH("Sì",K25)))</formula>
    </cfRule>
    <cfRule type="containsText" dxfId="4" priority="3" operator="containsText" text="oui">
      <formula>NOT(ISERROR(SEARCH("oui",K25)))</formula>
    </cfRule>
    <cfRule type="containsText" dxfId="3" priority="4" operator="containsText" text="Ja">
      <formula>NOT(ISERROR(SEARCH("Ja",K25)))</formula>
    </cfRule>
    <cfRule type="containsText" dxfId="2" priority="5" operator="containsText" text="Yes">
      <formula>NOT(ISERROR(SEARCH("Yes",K25)))</formula>
    </cfRule>
    <cfRule type="containsText" dxfId="1" priority="6" operator="containsText" text="N">
      <formula>NOT(ISERROR(SEARCH("N",K25)))</formula>
    </cfRule>
  </conditionalFormatting>
  <conditionalFormatting sqref="K42:K43">
    <cfRule type="containsText" dxfId="0" priority="1" operator="containsText" text="N">
      <formula>NOT(ISERROR(SEARCH("N",K42)))</formula>
    </cfRule>
  </conditionalFormatting>
  <dataValidations count="3">
    <dataValidation type="whole" errorStyle="information" operator="lessThanOrEqual" allowBlank="1" showInputMessage="1" showErrorMessage="1" error="If over 600 litres --&gt; fill in at HORIZONTAL DISPLAY CABINETS (FROZEN)" promptTitle="Net Volume" prompt="Net Volume (l)" sqref="G18" xr:uid="{4833826D-034E-7C4B-89CF-A92DB1F86AAA}">
      <formula1>600</formula1>
    </dataValidation>
    <dataValidation allowBlank="1" showInputMessage="1" showErrorMessage="1" promptTitle="Gross Volume" prompt="Gross Volume (l)" sqref="E18" xr:uid="{214A5E92-1802-9945-BEA6-329AE6DAB9AC}"/>
    <dataValidation allowBlank="1" showInputMessage="1" showErrorMessage="1" errorTitle="Net Volume" promptTitle="Net Volume" prompt="Sum of the net volumes of all compartments (l)" sqref="U18" xr:uid="{FEA3D7C1-8EF2-3649-882D-46F4FCDC9BD0}"/>
  </dataValidations>
  <pageMargins left="0.75" right="0.75" top="1" bottom="1" header="0.5" footer="0.5"/>
  <pageSetup paperSize="9" orientation="portrait" horizontalDpi="4294967292" verticalDpi="4294967292"/>
  <ignoredErrors>
    <ignoredError sqref="C17:C19 B4:B6 S10 E11:I11 C23 L10:N10 F12 H12 L12 N12 M11:N11 F10:I10 C14:C15" emptyCellReference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promptTitle="choose language..." xr:uid="{FD4865FC-3CE8-3742-8F49-941C4700C861}">
          <x14:formula1>
            <xm:f>Languages!$A$1:$D$1</xm:f>
          </x14:formula1>
          <xm:sqref>B2</xm:sqref>
        </x14:dataValidation>
        <x14:dataValidation type="list" showInputMessage="1" showErrorMessage="1" errorTitle="CC1 / CC2 / CC3" error="Please select CC1  (25°C, 60% rel.hum.), CC2  (32.2°C, 65% rel.hum.) or CC3  (40.6°C, 75% rel.hum.)" promptTitle="CC1 / CC2 / CC3" prompt="CC1  (25°C, 60% RH)_x000a_CC2  (32.2°C, 65% RH)_x000a_CC3  (40.6°C, 75% RH)" xr:uid="{76EC4BF4-564D-5842-A415-718AED6E3022}">
          <x14:formula1>
            <xm:f>StoredValues!$B$19:$D$19</xm:f>
          </x14:formula1>
          <xm:sqref>E21</xm:sqref>
        </x14:dataValidation>
        <x14:dataValidation type="list" showInputMessage="1" showErrorMessage="1" errorTitle="Climate Class" error="Please select the maximum operating temperature and relativ humidity 30°C, 55% (A) or 35°C, 75% (B) or 40°C, 40% (C)." promptTitle="Climate Class" prompt="Maximum temperature and relativ humidity _x000a_30°C, 55%  (A) _x000a_35°C, 75%  (B)_x000a_40°C, 40%  (C)" xr:uid="{E2404A1E-80A5-AD41-A651-F9DCB846B310}">
          <x14:formula1>
            <xm:f>StoredValues!$E$19:$G$19</xm:f>
          </x14:formula1>
          <xm:sqref>G21</xm:sqref>
        </x14:dataValidation>
        <x14:dataValidation type="list" showInputMessage="1" showErrorMessage="1" errorTitle="Lid" error="Please select if the ice-cream freezer has a transparent or non-transparent lid." promptTitle="Lid" prompt="Transparent (glas) or _x000a_Non-Transparent (solid)" xr:uid="{A10BD3D7-03FD-5E4C-ABFF-5B8D4B9C90BF}">
          <x14:formula1>
            <xm:f>StoredValues!$A$29:$A$30</xm:f>
          </x14:formula1>
          <xm:sqref>G22</xm:sqref>
        </x14:dataValidation>
        <x14:dataValidation type="list" allowBlank="1" showInputMessage="1" showErrorMessage="1" errorTitle="Temperature Class Category" error="Please select a temperature class category for the vending machine _x000a_1 = Close fronted, cans &amp; bottles_x000a_2 = glass fronted, cans &amp; bottles, confectionery &amp; snacks_x000a_3 = glass fronted, perishables_x000a_4 = glass fronted, multi-temperature_x000a_5 = combination of categori" promptTitle="Temperature Class Category" prompt="1 = Close fronted, cans &amp; bottles_x000a_2 = glass fronted, cans &amp; bottles, confectionery &amp; snacks_x000a_3 = glass fronted, perishables_x000a_4 = glass fronted, multi-temperature_x000a_5 = combination of categories, one housing &amp; chiller" xr:uid="{4758BE57-0935-0A4A-8DB9-64CD378AC0AC}">
          <x14:formula1>
            <xm:f>StoredValues!$A$33:$A$37</xm:f>
          </x14:formula1>
          <xm:sqref>U20</xm:sqref>
        </x14:dataValidation>
        <x14:dataValidation type="list" showInputMessage="1" showErrorMessage="1" errorTitle="Plug-in / Remote" error="Please select the type of device_x000a_(plug-in or remote)" promptTitle="Plug-in / Remote" xr:uid="{8DFC2F40-1440-432C-9810-9DB278354DA0}">
          <x14:formula1>
            <xm:f>StoredValues!$A$25:$A$26</xm:f>
          </x14:formula1>
          <xm:sqref>Q16 S16 I16 K16 M16 O16</xm:sqref>
        </x14:dataValidation>
        <x14:dataValidation type="list" showInputMessage="1" showErrorMessage="1" errorTitle="L1 / L2 / L3" error="Please select L1 (-18 ... -15°C), L2 (-18 ... -12°C) or L3 (-15 ... -12°C)." promptTitle="L1 / L2 / L3" prompt="L1   (highest temp. of warmest m-package &lt;= -15°C, highest min. temp. of all m-packages &lt;= -18°C)_x000a_L2   (highest temp. of warmest m-package &lt;= -12°C, highest min. temp. of all m-packages &lt;= -18°C)_x000a_L3   (highest temp. of warmest m-package &lt;= -12°C, highest " xr:uid="{8C70D55A-4D60-934F-B8C6-DD5FC1457878}">
          <x14:formula1>
            <xm:f>StoredValues!$F$1:$H$1</xm:f>
          </x14:formula1>
          <xm:sqref>S20 Q20 O20</xm:sqref>
        </x14:dataValidation>
        <x14:dataValidation type="list" showInputMessage="1" showErrorMessage="1" errorTitle="K1 / K2 / K3 / K4" error="Please select K1 (+0.0 ...+7.0°C), K2 (-1.0 ...+6.0°C), K3 (-3.5 ...+1.0°C) or K4 (+1.0 ...+9.0°C)." promptTitle="K1 / K2 / K3 / K4" prompt="K1 (average &lt;= 3.5°C)_x000a_K2 (average &lt;= 2.5°C)_x000a_K3 (average &lt;= -1.0°C)_x000a_K4 (average &lt;= 5.0°C)" xr:uid="{5749A52C-E543-1647-B03A-8158CFABF704}">
          <x14:formula1>
            <xm:f>StoredValues!$I$1:$L$1</xm:f>
          </x14:formula1>
          <xm:sqref>E20</xm:sqref>
        </x14:dataValidation>
        <x14:dataValidation type="list" showInputMessage="1" showErrorMessage="1" errorTitle="-18.0 / -7.0 °C" error="Please select highest temperature of warmest m-package during the testing (max. -18 °C or max. -7°C)." promptTitle="-18.0 / -7.0 °C" prompt="Highest temperature of warmest m-package maximal     -18.0°C (L1) or -7°C." xr:uid="{AAF20090-7D59-144E-B6C2-7060576928EB}">
          <x14:formula1>
            <xm:f>StoredValues!$M$1:$N$1</xm:f>
          </x14:formula1>
          <xm:sqref>G20</xm:sqref>
        </x14:dataValidation>
        <x14:dataValidation type="list" showInputMessage="1" showErrorMessage="1" errorTitle="M0 / M1 / M2 / H1 / H2" error="Please select a temperature class (M0, M1, M2, H1 or H2)" promptTitle="M0 / M1 / M2 / H1 / H2" prompt="M0    (-1 ...+4 °C)_x000a_M1   (-1 ...+5 °C)_x000a_M2   (-1 ...+7 °C)_x000a_H1&amp;H2   (+1/-1 ... +10 °C)" xr:uid="{907AF7BE-44C4-45E2-96B5-8BCF53164722}">
          <x14:formula1>
            <xm:f>StoredValues!$B$1:$E$1</xm:f>
          </x14:formula1>
          <xm:sqref>I20 K20 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72"/>
  <sheetViews>
    <sheetView workbookViewId="0">
      <selection activeCell="A7" sqref="A7"/>
    </sheetView>
  </sheetViews>
  <sheetFormatPr defaultColWidth="10.85546875" defaultRowHeight="18.5"/>
  <cols>
    <col min="1" max="1" width="37.28515625" customWidth="1"/>
  </cols>
  <sheetData>
    <row r="1" spans="1:4">
      <c r="A1" t="s">
        <v>10</v>
      </c>
      <c r="B1" t="s">
        <v>11</v>
      </c>
      <c r="C1" s="17" t="s">
        <v>12</v>
      </c>
      <c r="D1" t="s">
        <v>13</v>
      </c>
    </row>
    <row r="2" spans="1:4">
      <c r="A2" s="11" t="s">
        <v>9</v>
      </c>
      <c r="B2" s="11" t="s">
        <v>34</v>
      </c>
      <c r="C2" s="17" t="s">
        <v>57</v>
      </c>
      <c r="D2" s="11" t="s">
        <v>48</v>
      </c>
    </row>
    <row r="3" spans="1:4">
      <c r="A3" s="11" t="s">
        <v>83</v>
      </c>
      <c r="B3" s="11" t="s">
        <v>80</v>
      </c>
      <c r="C3" s="17" t="s">
        <v>81</v>
      </c>
      <c r="D3" s="11" t="s">
        <v>82</v>
      </c>
    </row>
    <row r="4" spans="1:4">
      <c r="A4" s="11" t="s">
        <v>15</v>
      </c>
      <c r="B4" s="11" t="s">
        <v>33</v>
      </c>
      <c r="C4" s="17" t="s">
        <v>58</v>
      </c>
      <c r="D4" s="11" t="s">
        <v>49</v>
      </c>
    </row>
    <row r="5" spans="1:4">
      <c r="A5" s="11" t="s">
        <v>291</v>
      </c>
      <c r="B5" s="11" t="s">
        <v>145</v>
      </c>
      <c r="C5" s="17" t="s">
        <v>145</v>
      </c>
      <c r="D5" s="11" t="s">
        <v>145</v>
      </c>
    </row>
    <row r="6" spans="1:4">
      <c r="A6" s="11" t="s">
        <v>302</v>
      </c>
      <c r="B6" s="11" t="s">
        <v>303</v>
      </c>
      <c r="C6" s="20" t="s">
        <v>304</v>
      </c>
      <c r="D6" s="9" t="s">
        <v>305</v>
      </c>
    </row>
    <row r="7" spans="1:4">
      <c r="C7" s="18"/>
      <c r="D7" s="11"/>
    </row>
    <row r="8" spans="1:4">
      <c r="C8" s="18"/>
      <c r="D8" s="11"/>
    </row>
    <row r="9" spans="1:4">
      <c r="A9" s="11" t="s">
        <v>1</v>
      </c>
      <c r="B9" s="11" t="s">
        <v>23</v>
      </c>
      <c r="C9" s="17" t="s">
        <v>59</v>
      </c>
      <c r="D9" s="11" t="s">
        <v>50</v>
      </c>
    </row>
    <row r="10" spans="1:4">
      <c r="A10" s="11" t="s">
        <v>0</v>
      </c>
      <c r="B10" s="11" t="s">
        <v>24</v>
      </c>
      <c r="C10" s="17" t="s">
        <v>60</v>
      </c>
      <c r="D10" s="11" t="s">
        <v>51</v>
      </c>
    </row>
    <row r="11" spans="1:4">
      <c r="A11" s="11" t="s">
        <v>2</v>
      </c>
      <c r="B11" s="11" t="s">
        <v>25</v>
      </c>
      <c r="C11" s="17" t="s">
        <v>61</v>
      </c>
      <c r="D11" s="57" t="s">
        <v>52</v>
      </c>
    </row>
    <row r="12" spans="1:4">
      <c r="A12" s="11" t="s">
        <v>104</v>
      </c>
      <c r="B12" s="11" t="s">
        <v>105</v>
      </c>
      <c r="C12" s="17" t="s">
        <v>106</v>
      </c>
      <c r="D12" s="57" t="s">
        <v>107</v>
      </c>
    </row>
    <row r="13" spans="1:4">
      <c r="A13" s="11" t="s">
        <v>3</v>
      </c>
      <c r="B13" s="11" t="s">
        <v>26</v>
      </c>
      <c r="C13" s="17" t="s">
        <v>62</v>
      </c>
      <c r="D13" s="57" t="s">
        <v>53</v>
      </c>
    </row>
    <row r="14" spans="1:4">
      <c r="A14" s="11" t="s">
        <v>88</v>
      </c>
      <c r="B14" s="11" t="s">
        <v>89</v>
      </c>
      <c r="C14" s="9" t="s">
        <v>109</v>
      </c>
      <c r="D14" s="9" t="s">
        <v>108</v>
      </c>
    </row>
    <row r="15" spans="1:4">
      <c r="A15" s="11" t="s">
        <v>110</v>
      </c>
      <c r="B15" s="11" t="s">
        <v>111</v>
      </c>
      <c r="C15" s="17" t="s">
        <v>112</v>
      </c>
      <c r="D15" s="57" t="s">
        <v>113</v>
      </c>
    </row>
    <row r="16" spans="1:4">
      <c r="A16" s="11" t="s">
        <v>140</v>
      </c>
      <c r="B16" s="11" t="s">
        <v>141</v>
      </c>
      <c r="C16" s="17" t="s">
        <v>182</v>
      </c>
      <c r="D16" s="57" t="s">
        <v>183</v>
      </c>
    </row>
    <row r="17" spans="1:7">
      <c r="A17" s="11" t="s">
        <v>8</v>
      </c>
      <c r="B17" s="11" t="s">
        <v>22</v>
      </c>
      <c r="C17" s="17" t="s">
        <v>8</v>
      </c>
      <c r="D17" s="57" t="s">
        <v>22</v>
      </c>
    </row>
    <row r="18" spans="1:7">
      <c r="A18" s="11" t="s">
        <v>14</v>
      </c>
      <c r="B18" s="11" t="s">
        <v>21</v>
      </c>
      <c r="C18" s="17" t="s">
        <v>63</v>
      </c>
      <c r="D18" s="57" t="s">
        <v>54</v>
      </c>
    </row>
    <row r="19" spans="1:7">
      <c r="C19" s="18"/>
      <c r="D19" s="11"/>
    </row>
    <row r="20" spans="1:7">
      <c r="A20" s="11" t="s">
        <v>38</v>
      </c>
      <c r="B20" s="11" t="s">
        <v>227</v>
      </c>
      <c r="C20" s="17" t="s">
        <v>64</v>
      </c>
      <c r="D20" s="57" t="s">
        <v>226</v>
      </c>
    </row>
    <row r="21" spans="1:7">
      <c r="A21" s="11" t="s">
        <v>39</v>
      </c>
      <c r="B21" s="11" t="s">
        <v>40</v>
      </c>
      <c r="C21" s="17" t="s">
        <v>184</v>
      </c>
      <c r="D21" s="57" t="s">
        <v>55</v>
      </c>
    </row>
    <row r="22" spans="1:7">
      <c r="A22" s="11" t="s">
        <v>86</v>
      </c>
      <c r="B22" s="11" t="s">
        <v>228</v>
      </c>
      <c r="C22" s="17" t="s">
        <v>65</v>
      </c>
      <c r="D22" s="57" t="s">
        <v>230</v>
      </c>
    </row>
    <row r="23" spans="1:7">
      <c r="A23" s="11" t="s">
        <v>87</v>
      </c>
      <c r="B23" s="11" t="s">
        <v>229</v>
      </c>
      <c r="C23" s="17" t="s">
        <v>66</v>
      </c>
      <c r="D23" s="57" t="s">
        <v>231</v>
      </c>
    </row>
    <row r="24" spans="1:7">
      <c r="A24" s="11" t="s">
        <v>4</v>
      </c>
      <c r="B24" s="11" t="s">
        <v>250</v>
      </c>
      <c r="C24" s="17" t="s">
        <v>253</v>
      </c>
      <c r="D24" s="57" t="s">
        <v>266</v>
      </c>
    </row>
    <row r="25" spans="1:7">
      <c r="A25" s="11" t="s">
        <v>7</v>
      </c>
      <c r="B25" s="11" t="s">
        <v>251</v>
      </c>
      <c r="C25" s="17" t="s">
        <v>254</v>
      </c>
      <c r="D25" s="9" t="s">
        <v>267</v>
      </c>
    </row>
    <row r="26" spans="1:7">
      <c r="A26" s="11" t="s">
        <v>73</v>
      </c>
      <c r="B26" s="11" t="s">
        <v>249</v>
      </c>
      <c r="C26" s="19" t="s">
        <v>67</v>
      </c>
      <c r="D26" s="9" t="s">
        <v>265</v>
      </c>
    </row>
    <row r="27" spans="1:7">
      <c r="A27" s="11" t="s">
        <v>287</v>
      </c>
      <c r="B27" s="11" t="s">
        <v>290</v>
      </c>
      <c r="C27" s="19" t="s">
        <v>288</v>
      </c>
      <c r="D27" s="57" t="s">
        <v>289</v>
      </c>
      <c r="G27" s="68"/>
    </row>
    <row r="28" spans="1:7">
      <c r="A28" s="11" t="s">
        <v>74</v>
      </c>
      <c r="B28" s="11" t="s">
        <v>248</v>
      </c>
      <c r="C28" s="17" t="s">
        <v>255</v>
      </c>
      <c r="D28" s="9" t="s">
        <v>268</v>
      </c>
    </row>
    <row r="29" spans="1:7">
      <c r="A29" s="11" t="s">
        <v>75</v>
      </c>
      <c r="B29" s="11" t="s">
        <v>252</v>
      </c>
      <c r="C29" s="17" t="s">
        <v>256</v>
      </c>
      <c r="D29" s="9" t="s">
        <v>269</v>
      </c>
    </row>
    <row r="30" spans="1:7">
      <c r="A30" s="11" t="s">
        <v>16</v>
      </c>
      <c r="B30" s="11" t="s">
        <v>27</v>
      </c>
      <c r="C30" s="17" t="s">
        <v>185</v>
      </c>
      <c r="D30" s="9" t="s">
        <v>186</v>
      </c>
    </row>
    <row r="31" spans="1:7">
      <c r="A31" s="11" t="s">
        <v>17</v>
      </c>
      <c r="B31" s="11" t="s">
        <v>28</v>
      </c>
      <c r="C31" s="19" t="s">
        <v>187</v>
      </c>
      <c r="D31" s="9" t="s">
        <v>188</v>
      </c>
    </row>
    <row r="32" spans="1:7">
      <c r="A32" s="11" t="s">
        <v>18</v>
      </c>
      <c r="B32" s="11" t="s">
        <v>29</v>
      </c>
      <c r="C32" s="19" t="s">
        <v>189</v>
      </c>
      <c r="D32" s="9" t="s">
        <v>190</v>
      </c>
    </row>
    <row r="33" spans="1:4">
      <c r="A33" s="11" t="s">
        <v>19</v>
      </c>
      <c r="B33" s="11" t="s">
        <v>30</v>
      </c>
      <c r="C33" s="17" t="s">
        <v>191</v>
      </c>
      <c r="D33" s="9" t="s">
        <v>192</v>
      </c>
    </row>
    <row r="34" spans="1:4">
      <c r="A34" s="11" t="s">
        <v>35</v>
      </c>
      <c r="B34" s="11" t="s">
        <v>31</v>
      </c>
      <c r="C34" s="17" t="s">
        <v>193</v>
      </c>
      <c r="D34" s="9" t="s">
        <v>194</v>
      </c>
    </row>
    <row r="35" spans="1:4">
      <c r="A35" s="11" t="s">
        <v>20</v>
      </c>
      <c r="B35" s="11" t="s">
        <v>32</v>
      </c>
      <c r="C35" s="17" t="s">
        <v>195</v>
      </c>
      <c r="D35" s="9" t="s">
        <v>196</v>
      </c>
    </row>
    <row r="36" spans="1:4">
      <c r="A36" t="s">
        <v>36</v>
      </c>
      <c r="B36" s="11" t="s">
        <v>37</v>
      </c>
      <c r="C36" s="17" t="s">
        <v>197</v>
      </c>
      <c r="D36" s="9" t="s">
        <v>56</v>
      </c>
    </row>
    <row r="37" spans="1:4">
      <c r="A37" s="11" t="s">
        <v>41</v>
      </c>
      <c r="B37" s="11" t="s">
        <v>232</v>
      </c>
      <c r="C37" s="19" t="s">
        <v>234</v>
      </c>
      <c r="D37" s="9" t="s">
        <v>233</v>
      </c>
    </row>
    <row r="38" spans="1:4">
      <c r="A38" s="11" t="s">
        <v>42</v>
      </c>
      <c r="B38" s="11" t="s">
        <v>244</v>
      </c>
      <c r="C38" s="17" t="s">
        <v>68</v>
      </c>
      <c r="D38" s="9" t="s">
        <v>264</v>
      </c>
    </row>
    <row r="39" spans="1:4">
      <c r="A39" s="11" t="s">
        <v>43</v>
      </c>
      <c r="B39" s="11" t="s">
        <v>43</v>
      </c>
      <c r="C39" s="17" t="s">
        <v>43</v>
      </c>
      <c r="D39" s="9" t="s">
        <v>260</v>
      </c>
    </row>
    <row r="40" spans="1:4">
      <c r="A40" s="11" t="s">
        <v>71</v>
      </c>
      <c r="B40" s="11" t="s">
        <v>245</v>
      </c>
      <c r="C40" s="20" t="s">
        <v>257</v>
      </c>
      <c r="D40" s="9" t="s">
        <v>261</v>
      </c>
    </row>
    <row r="41" spans="1:4">
      <c r="A41" s="11" t="s">
        <v>72</v>
      </c>
      <c r="B41" s="11" t="s">
        <v>246</v>
      </c>
      <c r="C41" s="20" t="s">
        <v>258</v>
      </c>
      <c r="D41" s="9" t="s">
        <v>262</v>
      </c>
    </row>
    <row r="42" spans="1:4">
      <c r="A42" t="s">
        <v>84</v>
      </c>
      <c r="B42" s="57" t="s">
        <v>247</v>
      </c>
      <c r="C42" s="20" t="s">
        <v>259</v>
      </c>
      <c r="D42" s="9" t="s">
        <v>263</v>
      </c>
    </row>
    <row r="43" spans="1:4">
      <c r="C43" s="20"/>
    </row>
    <row r="44" spans="1:4">
      <c r="A44" t="s">
        <v>44</v>
      </c>
      <c r="B44" t="s">
        <v>46</v>
      </c>
      <c r="C44" s="20" t="s">
        <v>69</v>
      </c>
      <c r="D44" t="s">
        <v>181</v>
      </c>
    </row>
    <row r="45" spans="1:4">
      <c r="A45" t="s">
        <v>45</v>
      </c>
      <c r="B45" t="s">
        <v>47</v>
      </c>
      <c r="C45" s="20" t="s">
        <v>70</v>
      </c>
      <c r="D45" t="s">
        <v>45</v>
      </c>
    </row>
    <row r="47" spans="1:4">
      <c r="A47" t="s">
        <v>78</v>
      </c>
      <c r="B47" t="s">
        <v>146</v>
      </c>
      <c r="C47" s="20" t="s">
        <v>198</v>
      </c>
      <c r="D47" s="9" t="s">
        <v>199</v>
      </c>
    </row>
    <row r="48" spans="1:4">
      <c r="A48" t="s">
        <v>79</v>
      </c>
      <c r="B48" t="s">
        <v>147</v>
      </c>
      <c r="C48" s="20" t="s">
        <v>200</v>
      </c>
      <c r="D48" s="9" t="s">
        <v>201</v>
      </c>
    </row>
    <row r="49" spans="1:4">
      <c r="A49" t="s">
        <v>165</v>
      </c>
      <c r="B49" t="s">
        <v>166</v>
      </c>
      <c r="C49" s="20" t="s">
        <v>202</v>
      </c>
      <c r="D49" s="9" t="s">
        <v>203</v>
      </c>
    </row>
    <row r="50" spans="1:4">
      <c r="A50" t="s">
        <v>5</v>
      </c>
      <c r="B50" t="s">
        <v>167</v>
      </c>
      <c r="C50" s="20" t="s">
        <v>204</v>
      </c>
      <c r="D50" s="9" t="s">
        <v>205</v>
      </c>
    </row>
    <row r="51" spans="1:4">
      <c r="A51" t="s">
        <v>6</v>
      </c>
      <c r="B51" t="s">
        <v>168</v>
      </c>
      <c r="C51" s="20" t="s">
        <v>206</v>
      </c>
      <c r="D51" s="9" t="s">
        <v>207</v>
      </c>
    </row>
    <row r="52" spans="1:4">
      <c r="A52" t="s">
        <v>136</v>
      </c>
      <c r="B52" t="s">
        <v>169</v>
      </c>
      <c r="C52" s="20" t="s">
        <v>208</v>
      </c>
      <c r="D52" s="9" t="s">
        <v>209</v>
      </c>
    </row>
    <row r="53" spans="1:4">
      <c r="A53" t="s">
        <v>148</v>
      </c>
      <c r="B53" t="s">
        <v>171</v>
      </c>
      <c r="C53" s="20" t="s">
        <v>210</v>
      </c>
      <c r="D53" s="9" t="s">
        <v>211</v>
      </c>
    </row>
    <row r="54" spans="1:4">
      <c r="A54" t="s">
        <v>138</v>
      </c>
      <c r="B54" t="s">
        <v>172</v>
      </c>
      <c r="C54" s="20" t="s">
        <v>212</v>
      </c>
      <c r="D54" s="9" t="s">
        <v>213</v>
      </c>
    </row>
    <row r="55" spans="1:4">
      <c r="A55" t="s">
        <v>137</v>
      </c>
      <c r="B55" t="s">
        <v>170</v>
      </c>
      <c r="C55" s="20" t="s">
        <v>214</v>
      </c>
      <c r="D55" s="9" t="s">
        <v>215</v>
      </c>
    </row>
    <row r="56" spans="1:4">
      <c r="A56" t="s">
        <v>178</v>
      </c>
      <c r="B56" t="s">
        <v>176</v>
      </c>
      <c r="C56" s="20" t="s">
        <v>216</v>
      </c>
      <c r="D56" s="9" t="s">
        <v>217</v>
      </c>
    </row>
    <row r="57" spans="1:4">
      <c r="A57" t="s">
        <v>177</v>
      </c>
      <c r="B57" t="s">
        <v>175</v>
      </c>
      <c r="C57" s="20" t="s">
        <v>218</v>
      </c>
      <c r="D57" s="9" t="s">
        <v>219</v>
      </c>
    </row>
    <row r="58" spans="1:4">
      <c r="A58" t="s">
        <v>174</v>
      </c>
      <c r="B58" t="s">
        <v>173</v>
      </c>
      <c r="C58" s="20" t="s">
        <v>220</v>
      </c>
      <c r="D58" s="9" t="s">
        <v>221</v>
      </c>
    </row>
    <row r="59" spans="1:4">
      <c r="A59" t="s">
        <v>85</v>
      </c>
      <c r="B59" t="s">
        <v>179</v>
      </c>
      <c r="C59" s="20" t="s">
        <v>222</v>
      </c>
      <c r="D59" s="9" t="s">
        <v>223</v>
      </c>
    </row>
    <row r="60" spans="1:4">
      <c r="A60" t="s">
        <v>270</v>
      </c>
      <c r="B60" t="s">
        <v>180</v>
      </c>
      <c r="C60" s="20" t="s">
        <v>224</v>
      </c>
      <c r="D60" s="9" t="s">
        <v>225</v>
      </c>
    </row>
    <row r="62" spans="1:4">
      <c r="A62" s="11" t="s">
        <v>238</v>
      </c>
      <c r="B62" t="s">
        <v>145</v>
      </c>
      <c r="C62" s="20" t="s">
        <v>145</v>
      </c>
      <c r="D62" s="9" t="s">
        <v>145</v>
      </c>
    </row>
    <row r="63" spans="1:4">
      <c r="A63" t="s">
        <v>237</v>
      </c>
      <c r="B63" s="11" t="s">
        <v>235</v>
      </c>
      <c r="C63" s="17" t="s">
        <v>241</v>
      </c>
      <c r="D63" s="11" t="s">
        <v>242</v>
      </c>
    </row>
    <row r="64" spans="1:4">
      <c r="A64" t="s">
        <v>236</v>
      </c>
      <c r="B64" t="s">
        <v>239</v>
      </c>
      <c r="C64" s="20" t="s">
        <v>240</v>
      </c>
      <c r="D64" s="20" t="s">
        <v>243</v>
      </c>
    </row>
    <row r="66" spans="1:4">
      <c r="A66" t="s">
        <v>279</v>
      </c>
      <c r="B66" t="s">
        <v>281</v>
      </c>
      <c r="C66" t="s">
        <v>285</v>
      </c>
      <c r="D66" t="s">
        <v>284</v>
      </c>
    </row>
    <row r="67" spans="1:4">
      <c r="A67" t="s">
        <v>280</v>
      </c>
      <c r="B67" t="s">
        <v>282</v>
      </c>
      <c r="C67" t="s">
        <v>286</v>
      </c>
      <c r="D67" t="s">
        <v>283</v>
      </c>
    </row>
    <row r="68" spans="1:4">
      <c r="A68" t="s">
        <v>271</v>
      </c>
      <c r="B68" t="s">
        <v>273</v>
      </c>
      <c r="C68" t="s">
        <v>275</v>
      </c>
      <c r="D68" t="s">
        <v>277</v>
      </c>
    </row>
    <row r="69" spans="1:4">
      <c r="A69" t="s">
        <v>272</v>
      </c>
      <c r="B69" t="s">
        <v>274</v>
      </c>
      <c r="C69" t="s">
        <v>276</v>
      </c>
      <c r="D69" t="s">
        <v>278</v>
      </c>
    </row>
    <row r="71" spans="1:4">
      <c r="A71" t="s">
        <v>295</v>
      </c>
      <c r="B71" t="s">
        <v>292</v>
      </c>
      <c r="C71" s="20" t="s">
        <v>293</v>
      </c>
      <c r="D71" s="9" t="s">
        <v>294</v>
      </c>
    </row>
    <row r="72" spans="1:4">
      <c r="A72" t="s">
        <v>297</v>
      </c>
      <c r="B72" t="s">
        <v>298</v>
      </c>
      <c r="C72" s="20" t="s">
        <v>299</v>
      </c>
      <c r="D72" t="s">
        <v>300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9B55-83D5-6E44-918A-BFABA03C5D1A}">
  <sheetPr>
    <tabColor rgb="FF92D050"/>
  </sheetPr>
  <dimension ref="A1:O38"/>
  <sheetViews>
    <sheetView zoomScale="55" zoomScaleNormal="55" workbookViewId="0">
      <selection activeCell="A73" sqref="A73"/>
    </sheetView>
  </sheetViews>
  <sheetFormatPr defaultColWidth="10.85546875" defaultRowHeight="18.5"/>
  <cols>
    <col min="1" max="1" width="50.5703125" bestFit="1" customWidth="1"/>
    <col min="2" max="2" width="14.7109375" customWidth="1"/>
    <col min="3" max="4" width="16.85546875" bestFit="1" customWidth="1"/>
    <col min="5" max="7" width="19.28515625" bestFit="1" customWidth="1"/>
  </cols>
  <sheetData>
    <row r="1" spans="1:15">
      <c r="A1" s="9" t="s">
        <v>96</v>
      </c>
      <c r="B1" t="s">
        <v>301</v>
      </c>
      <c r="C1" s="44" t="s">
        <v>91</v>
      </c>
      <c r="D1" s="44" t="s">
        <v>90</v>
      </c>
      <c r="E1" s="44" t="s">
        <v>97</v>
      </c>
      <c r="F1" s="44" t="s">
        <v>92</v>
      </c>
      <c r="G1" s="44" t="s">
        <v>93</v>
      </c>
      <c r="H1" s="44" t="s">
        <v>94</v>
      </c>
      <c r="I1" s="44" t="s">
        <v>98</v>
      </c>
      <c r="J1" s="44" t="s">
        <v>99</v>
      </c>
      <c r="K1" s="44" t="s">
        <v>100</v>
      </c>
      <c r="L1" s="44" t="s">
        <v>101</v>
      </c>
      <c r="M1" s="44" t="s">
        <v>102</v>
      </c>
      <c r="N1" s="44" t="s">
        <v>103</v>
      </c>
      <c r="O1" s="44" t="s">
        <v>95</v>
      </c>
    </row>
    <row r="2" spans="1:15">
      <c r="A2" s="9" t="s">
        <v>127</v>
      </c>
      <c r="B2">
        <v>1.3</v>
      </c>
      <c r="C2" s="9">
        <v>1.1499999999999999</v>
      </c>
      <c r="D2" s="9">
        <v>1</v>
      </c>
      <c r="E2" s="9">
        <v>0.82</v>
      </c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>
      <c r="A3" s="9" t="s">
        <v>128</v>
      </c>
      <c r="B3">
        <v>1.1299999999999999</v>
      </c>
      <c r="C3" s="9">
        <v>1.08</v>
      </c>
      <c r="D3" s="9">
        <v>1</v>
      </c>
      <c r="E3" s="9">
        <v>0.92</v>
      </c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>
      <c r="A4" s="9" t="s">
        <v>129</v>
      </c>
      <c r="C4" s="9"/>
      <c r="D4" s="9"/>
      <c r="E4" s="9"/>
      <c r="F4" s="9">
        <v>1</v>
      </c>
      <c r="G4" s="9">
        <v>0.9</v>
      </c>
      <c r="H4" s="9">
        <v>0.9</v>
      </c>
      <c r="I4" s="9"/>
      <c r="J4" s="9"/>
      <c r="K4" s="9"/>
      <c r="L4" s="9"/>
      <c r="M4" s="9"/>
      <c r="N4" s="9"/>
      <c r="O4" s="9"/>
    </row>
    <row r="5" spans="1:15">
      <c r="A5" s="9" t="s">
        <v>130</v>
      </c>
      <c r="C5" s="9"/>
      <c r="D5" s="9"/>
      <c r="E5" s="9"/>
      <c r="F5" s="9">
        <v>1</v>
      </c>
      <c r="G5" s="9">
        <v>0.92</v>
      </c>
      <c r="H5" s="9">
        <v>0.92</v>
      </c>
      <c r="I5" s="9"/>
      <c r="J5" s="9"/>
      <c r="K5" s="9"/>
      <c r="L5" s="9"/>
      <c r="M5" s="9"/>
      <c r="N5" s="9"/>
      <c r="O5" s="9"/>
    </row>
    <row r="6" spans="1:15">
      <c r="A6" s="9" t="s">
        <v>131</v>
      </c>
      <c r="C6" s="9">
        <v>1.1499999999999999</v>
      </c>
      <c r="D6" s="9">
        <v>1</v>
      </c>
      <c r="E6" s="9">
        <v>0.82</v>
      </c>
      <c r="F6" s="9"/>
      <c r="G6" s="9"/>
      <c r="H6" s="9"/>
      <c r="I6" s="43" t="s">
        <v>126</v>
      </c>
      <c r="J6" s="9"/>
      <c r="K6" s="9"/>
      <c r="L6" s="9"/>
      <c r="M6" s="9"/>
      <c r="N6" s="9"/>
      <c r="O6" s="9"/>
    </row>
    <row r="7" spans="1:15">
      <c r="A7" s="9" t="s">
        <v>132</v>
      </c>
      <c r="C7" s="9">
        <v>1.1499999999999999</v>
      </c>
      <c r="D7" s="9">
        <v>1</v>
      </c>
      <c r="E7" s="9">
        <v>0.82</v>
      </c>
      <c r="F7" s="9"/>
      <c r="G7" s="9"/>
      <c r="H7" s="9"/>
      <c r="I7" s="43" t="s">
        <v>126</v>
      </c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5">
      <c r="A12" s="9"/>
      <c r="B12" s="9" t="s">
        <v>114</v>
      </c>
      <c r="C12" s="9"/>
      <c r="D12" s="9"/>
      <c r="E12" s="9"/>
      <c r="F12" s="9" t="s">
        <v>115</v>
      </c>
      <c r="G12" s="9" t="s">
        <v>115</v>
      </c>
      <c r="H12" s="9"/>
      <c r="J12" s="9"/>
      <c r="K12" s="9"/>
      <c r="L12" s="9"/>
      <c r="M12" s="9"/>
      <c r="N12" s="9"/>
    </row>
    <row r="13" spans="1:15">
      <c r="A13" s="9" t="s">
        <v>122</v>
      </c>
      <c r="B13" s="9" t="s">
        <v>98</v>
      </c>
      <c r="C13" s="9" t="s">
        <v>99</v>
      </c>
      <c r="D13" s="9" t="s">
        <v>100</v>
      </c>
      <c r="E13" s="9" t="s">
        <v>101</v>
      </c>
      <c r="F13" s="9" t="s">
        <v>102</v>
      </c>
      <c r="G13" s="9" t="s">
        <v>103</v>
      </c>
      <c r="H13" s="9"/>
      <c r="J13" s="9"/>
      <c r="K13" s="9"/>
      <c r="L13" s="9"/>
      <c r="M13" s="9"/>
      <c r="N13" s="9"/>
    </row>
    <row r="14" spans="1:15">
      <c r="A14" s="9" t="s">
        <v>114</v>
      </c>
      <c r="B14" s="9">
        <v>3.5</v>
      </c>
      <c r="C14" s="9">
        <v>2.5</v>
      </c>
      <c r="D14" s="9">
        <v>-1</v>
      </c>
      <c r="E14" s="9">
        <v>5</v>
      </c>
      <c r="F14" s="9"/>
      <c r="G14" s="9"/>
      <c r="H14" s="9"/>
      <c r="I14" s="9"/>
      <c r="J14" s="9"/>
      <c r="K14" s="9"/>
      <c r="L14" s="9"/>
      <c r="M14" s="9"/>
      <c r="N14" s="9"/>
    </row>
    <row r="15" spans="1:15">
      <c r="A15" s="9" t="s">
        <v>124</v>
      </c>
      <c r="B15" s="9"/>
      <c r="C15" s="9"/>
      <c r="D15" s="9"/>
      <c r="E15" s="9"/>
      <c r="F15" s="9">
        <v>-18</v>
      </c>
      <c r="G15" s="9">
        <v>-7</v>
      </c>
      <c r="H15" s="9"/>
      <c r="I15" s="9"/>
      <c r="J15" s="9"/>
      <c r="K15" s="9"/>
      <c r="L15" s="9"/>
      <c r="M15" s="9"/>
      <c r="N15" s="9"/>
    </row>
    <row r="16" spans="1:15">
      <c r="A16" s="9" t="s">
        <v>125</v>
      </c>
      <c r="B16" s="9"/>
      <c r="C16" s="9"/>
      <c r="D16" s="9"/>
      <c r="E16" s="9"/>
      <c r="F16" s="9">
        <v>-18</v>
      </c>
      <c r="G16" s="9">
        <v>-7</v>
      </c>
      <c r="H16" s="9"/>
      <c r="I16" s="9"/>
      <c r="J16" s="9"/>
      <c r="K16" s="9"/>
      <c r="L16" s="9"/>
      <c r="M16" s="9"/>
      <c r="N16" s="9"/>
    </row>
    <row r="17" spans="1:1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>
      <c r="A18" s="9"/>
      <c r="B18" s="9" t="s">
        <v>114</v>
      </c>
      <c r="C18" s="9"/>
      <c r="D18" s="9"/>
      <c r="E18" s="9" t="s">
        <v>115</v>
      </c>
      <c r="F18" s="9" t="s">
        <v>115</v>
      </c>
      <c r="G18" s="9" t="s">
        <v>115</v>
      </c>
      <c r="H18" s="9"/>
      <c r="I18" s="9"/>
      <c r="J18" s="9"/>
      <c r="K18" s="9"/>
      <c r="L18" s="9"/>
      <c r="M18" s="9"/>
      <c r="N18" s="9"/>
    </row>
    <row r="19" spans="1:14">
      <c r="A19" s="9" t="s">
        <v>123</v>
      </c>
      <c r="B19" s="9" t="s">
        <v>119</v>
      </c>
      <c r="C19" s="9" t="s">
        <v>120</v>
      </c>
      <c r="D19" s="9" t="s">
        <v>121</v>
      </c>
      <c r="E19" s="9" t="s">
        <v>118</v>
      </c>
      <c r="F19" s="9" t="s">
        <v>117</v>
      </c>
      <c r="G19" s="9" t="s">
        <v>116</v>
      </c>
      <c r="H19" s="9"/>
      <c r="I19" s="9"/>
      <c r="J19" s="9"/>
      <c r="K19" s="9"/>
      <c r="L19" s="9"/>
      <c r="M19" s="9"/>
      <c r="N19" s="9"/>
    </row>
    <row r="20" spans="1:14">
      <c r="A20" s="9" t="s">
        <v>114</v>
      </c>
      <c r="B20" s="9">
        <v>1</v>
      </c>
      <c r="C20" s="9">
        <v>1.05</v>
      </c>
      <c r="D20" s="9">
        <v>1.1000000000000001</v>
      </c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>
      <c r="A21" s="9" t="s">
        <v>124</v>
      </c>
      <c r="B21" s="9"/>
      <c r="C21" s="9"/>
      <c r="D21" s="9"/>
      <c r="E21" s="9">
        <v>1</v>
      </c>
      <c r="F21" s="9">
        <v>1.1000000000000001</v>
      </c>
      <c r="G21" s="9">
        <v>1.2</v>
      </c>
      <c r="H21" s="9"/>
      <c r="I21" s="9"/>
      <c r="J21" s="9"/>
      <c r="K21" s="9"/>
      <c r="L21" s="9"/>
      <c r="M21" s="9"/>
      <c r="N21" s="9"/>
    </row>
    <row r="22" spans="1:14">
      <c r="A22" s="9" t="s">
        <v>125</v>
      </c>
      <c r="B22" s="9"/>
      <c r="C22" s="9"/>
      <c r="D22" s="9"/>
      <c r="E22" s="9">
        <v>1</v>
      </c>
      <c r="F22" s="9">
        <v>1.04</v>
      </c>
      <c r="G22" s="9">
        <v>1.1000000000000001</v>
      </c>
      <c r="H22" s="9"/>
      <c r="I22" s="9"/>
      <c r="J22" s="9"/>
      <c r="K22" s="9"/>
      <c r="L22" s="9"/>
      <c r="M22" s="9"/>
      <c r="N22" s="9"/>
    </row>
    <row r="23" spans="1:14">
      <c r="A23" s="9"/>
      <c r="B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>
      <c r="A24" s="9" t="s">
        <v>133</v>
      </c>
      <c r="B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>
      <c r="A25" s="9" t="s">
        <v>134</v>
      </c>
      <c r="B25" s="45">
        <v>1.1000000000000001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>
      <c r="A26" s="9" t="s">
        <v>135</v>
      </c>
      <c r="B26" s="46">
        <v>1</v>
      </c>
    </row>
    <row r="28" spans="1:14">
      <c r="A28" t="s">
        <v>142</v>
      </c>
    </row>
    <row r="29" spans="1:14">
      <c r="A29" t="s">
        <v>143</v>
      </c>
    </row>
    <row r="30" spans="1:14">
      <c r="A30" t="s">
        <v>144</v>
      </c>
    </row>
    <row r="32" spans="1:14">
      <c r="A32" t="s">
        <v>149</v>
      </c>
      <c r="B32" t="s">
        <v>156</v>
      </c>
      <c r="C32" t="s">
        <v>150</v>
      </c>
      <c r="D32" t="s">
        <v>137</v>
      </c>
    </row>
    <row r="33" spans="1:4">
      <c r="A33" t="s">
        <v>151</v>
      </c>
      <c r="B33" t="s">
        <v>157</v>
      </c>
      <c r="C33">
        <v>7</v>
      </c>
      <c r="D33" t="s">
        <v>164</v>
      </c>
    </row>
    <row r="34" spans="1:4">
      <c r="A34" t="s">
        <v>152</v>
      </c>
      <c r="B34" t="s">
        <v>158</v>
      </c>
      <c r="C34">
        <v>12</v>
      </c>
      <c r="D34" t="s">
        <v>164</v>
      </c>
    </row>
    <row r="35" spans="1:4">
      <c r="A35" t="s">
        <v>153</v>
      </c>
      <c r="B35" t="s">
        <v>159</v>
      </c>
      <c r="C35">
        <v>3</v>
      </c>
      <c r="D35" t="s">
        <v>164</v>
      </c>
    </row>
    <row r="36" spans="1:4">
      <c r="A36" t="s">
        <v>154</v>
      </c>
      <c r="B36" t="s">
        <v>160</v>
      </c>
      <c r="C36" s="58" t="s">
        <v>162</v>
      </c>
      <c r="D36" t="s">
        <v>164</v>
      </c>
    </row>
    <row r="37" spans="1:4">
      <c r="A37" t="s">
        <v>155</v>
      </c>
      <c r="B37" t="s">
        <v>161</v>
      </c>
      <c r="C37" s="58" t="s">
        <v>162</v>
      </c>
      <c r="D37" t="s">
        <v>164</v>
      </c>
    </row>
    <row r="38" spans="1:4">
      <c r="C38" t="s">
        <v>163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TOPTEN CHECK</vt:lpstr>
      <vt:lpstr>Languages</vt:lpstr>
      <vt:lpstr>StoredValues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Geilinger</dc:creator>
  <cp:lastModifiedBy>Steffen Hepp</cp:lastModifiedBy>
  <dcterms:created xsi:type="dcterms:W3CDTF">2014-10-25T22:59:15Z</dcterms:created>
  <dcterms:modified xsi:type="dcterms:W3CDTF">2022-02-28T12:55:44Z</dcterms:modified>
</cp:coreProperties>
</file>